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om\Documents\agc\"/>
    </mc:Choice>
  </mc:AlternateContent>
  <xr:revisionPtr revIDLastSave="0" documentId="8_{7251EE4E-F69C-47C8-8F17-FCB12B04102A}" xr6:coauthVersionLast="45" xr6:coauthVersionMax="45" xr10:uidLastSave="{00000000-0000-0000-0000-000000000000}"/>
  <bookViews>
    <workbookView xWindow="-120" yWindow="-120" windowWidth="29040" windowHeight="15990" activeTab="1" xr2:uid="{DC667001-1E62-48DF-B576-4930059413FD}"/>
  </bookViews>
  <sheets>
    <sheet name="Oct 7-19 survey" sheetId="3" r:id="rId1"/>
    <sheet name="Oct state breakout" sheetId="4" r:id="rId2"/>
    <sheet name="Aug 4-26 survey" sheetId="1" r:id="rId3"/>
    <sheet name="Aug state breakout" sheetId="2" r:id="rId4"/>
  </sheets>
  <definedNames>
    <definedName name="_xlnm.Print_Titles" localSheetId="2">'Aug 4-26 survey'!$1:$4</definedName>
    <definedName name="_xlnm.Print_Titles" localSheetId="3">'Aug state breakout'!$1:$2</definedName>
    <definedName name="_xlnm.Print_Titles" localSheetId="0">'Oct 7-19 survey'!$1:$4</definedName>
    <definedName name="_xlnm.Print_Titles" localSheetId="1">'Oct state breakout'!$1:$4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53" i="3"/>
  <c r="I56" i="3"/>
  <c r="I55" i="3"/>
  <c r="I54" i="3"/>
  <c r="I38" i="4"/>
  <c r="U58" i="4"/>
  <c r="U57" i="4"/>
  <c r="Q53" i="4"/>
  <c r="N25" i="4"/>
  <c r="N6" i="4"/>
  <c r="M41" i="4"/>
  <c r="M42" i="4"/>
  <c r="L53" i="4"/>
  <c r="K47" i="4"/>
  <c r="G61" i="4"/>
  <c r="G60" i="4"/>
  <c r="G52" i="4"/>
  <c r="F47" i="4"/>
  <c r="F46" i="4"/>
  <c r="F45" i="4"/>
  <c r="R7" i="4"/>
  <c r="U61" i="4"/>
  <c r="U60" i="4"/>
  <c r="U59" i="4"/>
  <c r="U56" i="4"/>
  <c r="U55" i="4"/>
  <c r="U54" i="4"/>
  <c r="U53" i="4"/>
  <c r="U52" i="4"/>
  <c r="U47" i="4"/>
  <c r="U46" i="4"/>
  <c r="U45" i="4"/>
  <c r="U44" i="4"/>
  <c r="U42" i="4"/>
  <c r="U41" i="4"/>
  <c r="U40" i="4"/>
  <c r="U39" i="4"/>
  <c r="U11" i="4"/>
  <c r="U10" i="4"/>
  <c r="U9" i="4"/>
  <c r="U8" i="4"/>
  <c r="U7" i="4"/>
  <c r="U6" i="4"/>
  <c r="U5" i="4"/>
  <c r="U12" i="4" s="1"/>
  <c r="T61" i="4"/>
  <c r="T60" i="4"/>
  <c r="T59" i="4"/>
  <c r="T58" i="4"/>
  <c r="T57" i="4"/>
  <c r="T56" i="4"/>
  <c r="T55" i="4"/>
  <c r="T54" i="4"/>
  <c r="T53" i="4"/>
  <c r="T52" i="4"/>
  <c r="T47" i="4"/>
  <c r="T46" i="4"/>
  <c r="T45" i="4"/>
  <c r="T44" i="4"/>
  <c r="T42" i="4"/>
  <c r="T41" i="4"/>
  <c r="T40" i="4"/>
  <c r="T11" i="4"/>
  <c r="T10" i="4"/>
  <c r="T9" i="4"/>
  <c r="T8" i="4"/>
  <c r="T7" i="4"/>
  <c r="T6" i="4"/>
  <c r="T5" i="4"/>
  <c r="T12" i="4" s="1"/>
  <c r="S61" i="4"/>
  <c r="S60" i="4"/>
  <c r="S59" i="4"/>
  <c r="S58" i="4"/>
  <c r="S57" i="4"/>
  <c r="S56" i="4"/>
  <c r="S55" i="4"/>
  <c r="S54" i="4"/>
  <c r="S53" i="4"/>
  <c r="S52" i="4"/>
  <c r="S47" i="4"/>
  <c r="S46" i="4"/>
  <c r="S45" i="4"/>
  <c r="S44" i="4"/>
  <c r="S42" i="4"/>
  <c r="S41" i="4"/>
  <c r="S40" i="4"/>
  <c r="S39" i="4"/>
  <c r="S38" i="4"/>
  <c r="S11" i="4"/>
  <c r="S10" i="4"/>
  <c r="S9" i="4"/>
  <c r="S8" i="4"/>
  <c r="S7" i="4"/>
  <c r="S6" i="4"/>
  <c r="S5" i="4"/>
  <c r="S12" i="4" s="1"/>
  <c r="T37" i="4"/>
  <c r="T30" i="4"/>
  <c r="T25" i="4"/>
  <c r="T14" i="4"/>
  <c r="S37" i="4"/>
  <c r="S30" i="4"/>
  <c r="S25" i="4"/>
  <c r="S14" i="4"/>
  <c r="R61" i="4"/>
  <c r="R60" i="4"/>
  <c r="R59" i="4"/>
  <c r="R58" i="4"/>
  <c r="R57" i="4"/>
  <c r="R56" i="4"/>
  <c r="R55" i="4"/>
  <c r="R54" i="4"/>
  <c r="R53" i="4"/>
  <c r="R52" i="4"/>
  <c r="R47" i="4"/>
  <c r="R46" i="4"/>
  <c r="R45" i="4"/>
  <c r="R44" i="4"/>
  <c r="R42" i="4"/>
  <c r="R41" i="4"/>
  <c r="R40" i="4"/>
  <c r="R39" i="4"/>
  <c r="R38" i="4"/>
  <c r="R37" i="4"/>
  <c r="R30" i="4"/>
  <c r="R25" i="4"/>
  <c r="R14" i="4"/>
  <c r="R11" i="4"/>
  <c r="R10" i="4"/>
  <c r="R9" i="4"/>
  <c r="R8" i="4"/>
  <c r="R6" i="4"/>
  <c r="R5" i="4"/>
  <c r="R12" i="4" s="1"/>
  <c r="P61" i="4"/>
  <c r="U25" i="4"/>
  <c r="P60" i="4"/>
  <c r="P59" i="4"/>
  <c r="P58" i="4"/>
  <c r="P57" i="4"/>
  <c r="P56" i="4"/>
  <c r="P55" i="4"/>
  <c r="P54" i="4"/>
  <c r="P53" i="4"/>
  <c r="P52" i="4"/>
  <c r="P47" i="4"/>
  <c r="P46" i="4"/>
  <c r="P45" i="4"/>
  <c r="P44" i="4"/>
  <c r="P42" i="4"/>
  <c r="P39" i="4"/>
  <c r="P11" i="4"/>
  <c r="P10" i="4"/>
  <c r="P9" i="4"/>
  <c r="P8" i="4"/>
  <c r="P7" i="4"/>
  <c r="P6" i="4"/>
  <c r="P5" i="4"/>
  <c r="P12" i="4" s="1"/>
  <c r="Q61" i="4"/>
  <c r="Q60" i="4"/>
  <c r="Q59" i="4"/>
  <c r="Q58" i="4"/>
  <c r="Q57" i="4"/>
  <c r="Q56" i="4"/>
  <c r="Q55" i="4"/>
  <c r="Q54" i="4"/>
  <c r="Q52" i="4"/>
  <c r="Q47" i="4"/>
  <c r="Q46" i="4"/>
  <c r="Q45" i="4"/>
  <c r="Q44" i="4"/>
  <c r="Q42" i="4"/>
  <c r="Q41" i="4"/>
  <c r="Q40" i="4"/>
  <c r="Q39" i="4"/>
  <c r="Q38" i="4"/>
  <c r="Q37" i="4"/>
  <c r="Q30" i="4"/>
  <c r="Q25" i="4"/>
  <c r="Q14" i="4"/>
  <c r="Q11" i="4"/>
  <c r="Q10" i="4"/>
  <c r="Q9" i="4"/>
  <c r="Q8" i="4"/>
  <c r="Q7" i="4"/>
  <c r="Q6" i="4"/>
  <c r="Q5" i="4"/>
  <c r="Q12" i="4" s="1"/>
  <c r="P40" i="4"/>
  <c r="P38" i="4"/>
  <c r="P25" i="4"/>
  <c r="O59" i="4"/>
  <c r="O58" i="4"/>
  <c r="O57" i="4"/>
  <c r="O56" i="4"/>
  <c r="O61" i="4"/>
  <c r="O60" i="4"/>
  <c r="O55" i="4"/>
  <c r="O54" i="4"/>
  <c r="O53" i="4"/>
  <c r="O52" i="4"/>
  <c r="O47" i="4"/>
  <c r="O46" i="4"/>
  <c r="O45" i="4"/>
  <c r="O44" i="4"/>
  <c r="O41" i="4"/>
  <c r="O40" i="4"/>
  <c r="O39" i="4"/>
  <c r="O11" i="4"/>
  <c r="O10" i="4"/>
  <c r="O9" i="4"/>
  <c r="O8" i="4"/>
  <c r="O7" i="4"/>
  <c r="O6" i="4"/>
  <c r="O5" i="4"/>
  <c r="O12" i="4" s="1"/>
  <c r="N61" i="4"/>
  <c r="N60" i="4"/>
  <c r="N59" i="4"/>
  <c r="N58" i="4"/>
  <c r="N57" i="4"/>
  <c r="N56" i="4"/>
  <c r="N55" i="4"/>
  <c r="N54" i="4"/>
  <c r="N53" i="4"/>
  <c r="N52" i="4"/>
  <c r="N47" i="4"/>
  <c r="N46" i="4"/>
  <c r="N45" i="4"/>
  <c r="N44" i="4"/>
  <c r="N42" i="4"/>
  <c r="N41" i="4"/>
  <c r="N40" i="4"/>
  <c r="N39" i="4"/>
  <c r="N38" i="4"/>
  <c r="N11" i="4"/>
  <c r="N10" i="4"/>
  <c r="N9" i="4"/>
  <c r="N8" i="4"/>
  <c r="N7" i="4"/>
  <c r="N5" i="4"/>
  <c r="L6" i="4"/>
  <c r="M61" i="4"/>
  <c r="M60" i="4"/>
  <c r="M59" i="4"/>
  <c r="M58" i="4"/>
  <c r="M57" i="4"/>
  <c r="M56" i="4"/>
  <c r="M55" i="4"/>
  <c r="M54" i="4"/>
  <c r="M53" i="4"/>
  <c r="M52" i="4"/>
  <c r="M47" i="4"/>
  <c r="M46" i="4"/>
  <c r="M45" i="4"/>
  <c r="M44" i="4"/>
  <c r="M11" i="4"/>
  <c r="M10" i="4"/>
  <c r="M9" i="4"/>
  <c r="M8" i="4"/>
  <c r="M7" i="4"/>
  <c r="M5" i="4"/>
  <c r="M12" i="4" s="1"/>
  <c r="L61" i="4"/>
  <c r="L60" i="4"/>
  <c r="L59" i="4"/>
  <c r="L58" i="4"/>
  <c r="L57" i="4"/>
  <c r="L56" i="4"/>
  <c r="L55" i="4"/>
  <c r="L54" i="4"/>
  <c r="L52" i="4"/>
  <c r="L47" i="4"/>
  <c r="L46" i="4"/>
  <c r="L45" i="4"/>
  <c r="L44" i="4"/>
  <c r="L42" i="4"/>
  <c r="L41" i="4"/>
  <c r="L40" i="4"/>
  <c r="L39" i="4"/>
  <c r="L38" i="4"/>
  <c r="L11" i="4"/>
  <c r="L10" i="4"/>
  <c r="L9" i="4"/>
  <c r="L8" i="4"/>
  <c r="L7" i="4"/>
  <c r="L5" i="4"/>
  <c r="L12" i="4" s="1"/>
  <c r="K61" i="4"/>
  <c r="K60" i="4"/>
  <c r="K59" i="4"/>
  <c r="K58" i="4"/>
  <c r="K57" i="4"/>
  <c r="K56" i="4"/>
  <c r="K55" i="4"/>
  <c r="K54" i="4"/>
  <c r="K53" i="4"/>
  <c r="K52" i="4"/>
  <c r="K46" i="4"/>
  <c r="K45" i="4"/>
  <c r="K44" i="4"/>
  <c r="K42" i="4"/>
  <c r="K41" i="4"/>
  <c r="K40" i="4"/>
  <c r="K39" i="4"/>
  <c r="K38" i="4"/>
  <c r="K25" i="4"/>
  <c r="K11" i="4"/>
  <c r="K10" i="4"/>
  <c r="K9" i="4"/>
  <c r="K8" i="4"/>
  <c r="K6" i="4"/>
  <c r="K7" i="4"/>
  <c r="K5" i="4"/>
  <c r="K12" i="4" s="1"/>
  <c r="J53" i="4"/>
  <c r="J55" i="4"/>
  <c r="J56" i="4"/>
  <c r="J57" i="4"/>
  <c r="J58" i="4"/>
  <c r="J61" i="4"/>
  <c r="J60" i="4"/>
  <c r="J59" i="4"/>
  <c r="J54" i="4"/>
  <c r="J52" i="4"/>
  <c r="J47" i="4"/>
  <c r="J46" i="4"/>
  <c r="J45" i="4"/>
  <c r="J44" i="4"/>
  <c r="J42" i="4"/>
  <c r="J40" i="4"/>
  <c r="J38" i="4"/>
  <c r="J11" i="4"/>
  <c r="J10" i="4"/>
  <c r="J9" i="4"/>
  <c r="J8" i="4"/>
  <c r="J7" i="4"/>
  <c r="J6" i="4"/>
  <c r="J5" i="4"/>
  <c r="J12" i="4" s="1"/>
  <c r="I58" i="4"/>
  <c r="I59" i="4"/>
  <c r="I60" i="4"/>
  <c r="I61" i="4"/>
  <c r="I57" i="4"/>
  <c r="I56" i="4"/>
  <c r="I55" i="4"/>
  <c r="I54" i="4"/>
  <c r="I53" i="4"/>
  <c r="I52" i="4"/>
  <c r="I47" i="4"/>
  <c r="I46" i="4"/>
  <c r="I45" i="4"/>
  <c r="I44" i="4"/>
  <c r="I42" i="4"/>
  <c r="I41" i="4"/>
  <c r="I40" i="4"/>
  <c r="I39" i="4"/>
  <c r="I11" i="4"/>
  <c r="I10" i="4"/>
  <c r="I9" i="4"/>
  <c r="I8" i="4"/>
  <c r="I7" i="4"/>
  <c r="I6" i="4"/>
  <c r="I5" i="4"/>
  <c r="I12" i="4" s="1"/>
  <c r="H61" i="4"/>
  <c r="H60" i="4"/>
  <c r="H59" i="4"/>
  <c r="H58" i="4"/>
  <c r="H57" i="4"/>
  <c r="H56" i="4"/>
  <c r="H55" i="4"/>
  <c r="H54" i="4"/>
  <c r="H53" i="4"/>
  <c r="H52" i="4"/>
  <c r="H47" i="4"/>
  <c r="H46" i="4"/>
  <c r="H45" i="4"/>
  <c r="H44" i="4"/>
  <c r="H42" i="4"/>
  <c r="H41" i="4"/>
  <c r="H40" i="4"/>
  <c r="H39" i="4"/>
  <c r="H38" i="4"/>
  <c r="H11" i="4"/>
  <c r="H10" i="4"/>
  <c r="H9" i="4"/>
  <c r="H8" i="4"/>
  <c r="H7" i="4"/>
  <c r="H6" i="4"/>
  <c r="H5" i="4"/>
  <c r="H12" i="4" s="1"/>
  <c r="G59" i="4"/>
  <c r="G58" i="4"/>
  <c r="G57" i="4"/>
  <c r="G56" i="4"/>
  <c r="G55" i="4"/>
  <c r="G54" i="4"/>
  <c r="G53" i="4"/>
  <c r="G47" i="4"/>
  <c r="G46" i="4"/>
  <c r="G45" i="4"/>
  <c r="G44" i="4"/>
  <c r="G42" i="4"/>
  <c r="G41" i="4"/>
  <c r="G40" i="4"/>
  <c r="G39" i="4"/>
  <c r="G38" i="4"/>
  <c r="G30" i="4"/>
  <c r="G11" i="4"/>
  <c r="G10" i="4"/>
  <c r="G9" i="4"/>
  <c r="G8" i="4"/>
  <c r="G7" i="4"/>
  <c r="G6" i="4"/>
  <c r="G5" i="4"/>
  <c r="G12" i="4" s="1"/>
  <c r="F61" i="4"/>
  <c r="F60" i="4"/>
  <c r="F59" i="4"/>
  <c r="F58" i="4"/>
  <c r="F57" i="4"/>
  <c r="F56" i="4"/>
  <c r="F55" i="4"/>
  <c r="F54" i="4"/>
  <c r="F53" i="4"/>
  <c r="F52" i="4"/>
  <c r="F44" i="4"/>
  <c r="F42" i="4"/>
  <c r="F41" i="4"/>
  <c r="F39" i="4"/>
  <c r="F38" i="4"/>
  <c r="F11" i="4"/>
  <c r="F10" i="4"/>
  <c r="F9" i="4"/>
  <c r="F8" i="4"/>
  <c r="F7" i="4"/>
  <c r="F6" i="4"/>
  <c r="F5" i="4"/>
  <c r="F12" i="4" s="1"/>
  <c r="E61" i="4"/>
  <c r="E60" i="4"/>
  <c r="E59" i="4"/>
  <c r="E58" i="4"/>
  <c r="E57" i="4"/>
  <c r="E56" i="4"/>
  <c r="E55" i="4"/>
  <c r="E54" i="4"/>
  <c r="E53" i="4"/>
  <c r="E52" i="4"/>
  <c r="E47" i="4"/>
  <c r="E46" i="4"/>
  <c r="E45" i="4"/>
  <c r="E44" i="4"/>
  <c r="O42" i="4"/>
  <c r="E42" i="4"/>
  <c r="P41" i="4"/>
  <c r="E41" i="4"/>
  <c r="E40" i="4"/>
  <c r="E39" i="4"/>
  <c r="E38" i="4"/>
  <c r="U37" i="4"/>
  <c r="P37" i="4"/>
  <c r="N37" i="4"/>
  <c r="M37" i="4"/>
  <c r="L37" i="4"/>
  <c r="K37" i="4"/>
  <c r="J37" i="4"/>
  <c r="I37" i="4"/>
  <c r="H37" i="4"/>
  <c r="G37" i="4"/>
  <c r="F37" i="4"/>
  <c r="E37" i="4"/>
  <c r="C37" i="4"/>
  <c r="D36" i="4"/>
  <c r="U30" i="4"/>
  <c r="P30" i="4"/>
  <c r="O30" i="4"/>
  <c r="N30" i="4"/>
  <c r="M30" i="4"/>
  <c r="L30" i="4"/>
  <c r="K30" i="4"/>
  <c r="J30" i="4"/>
  <c r="I30" i="4"/>
  <c r="H30" i="4"/>
  <c r="F30" i="4"/>
  <c r="E30" i="4"/>
  <c r="D30" i="4"/>
  <c r="C30" i="4"/>
  <c r="O25" i="4"/>
  <c r="M25" i="4"/>
  <c r="L25" i="4"/>
  <c r="J25" i="4"/>
  <c r="I25" i="4"/>
  <c r="H25" i="4"/>
  <c r="G25" i="4"/>
  <c r="F25" i="4"/>
  <c r="E25" i="4"/>
  <c r="C25" i="4"/>
  <c r="U14" i="4"/>
  <c r="P14" i="4"/>
  <c r="O14" i="4"/>
  <c r="N14" i="4"/>
  <c r="M14" i="4"/>
  <c r="L14" i="4"/>
  <c r="K14" i="4"/>
  <c r="J14" i="4"/>
  <c r="I14" i="4"/>
  <c r="H14" i="4"/>
  <c r="G14" i="4"/>
  <c r="F14" i="4"/>
  <c r="E14" i="4"/>
  <c r="C12" i="4"/>
  <c r="E11" i="4"/>
  <c r="E10" i="4"/>
  <c r="E9" i="4"/>
  <c r="E8" i="4"/>
  <c r="E7" i="4"/>
  <c r="E6" i="4"/>
  <c r="N12" i="4"/>
  <c r="E5" i="4"/>
  <c r="E12" i="4" s="1"/>
  <c r="R10" i="3"/>
  <c r="R62" i="3"/>
  <c r="R61" i="3"/>
  <c r="R60" i="3"/>
  <c r="R59" i="3"/>
  <c r="R58" i="3"/>
  <c r="R57" i="3"/>
  <c r="R56" i="3"/>
  <c r="R55" i="3"/>
  <c r="R54" i="3"/>
  <c r="R53" i="3"/>
  <c r="R48" i="3"/>
  <c r="R47" i="3"/>
  <c r="R46" i="3"/>
  <c r="R45" i="3"/>
  <c r="R43" i="3"/>
  <c r="R42" i="3"/>
  <c r="R41" i="3"/>
  <c r="R40" i="3"/>
  <c r="R39" i="3"/>
  <c r="R31" i="3"/>
  <c r="R12" i="3"/>
  <c r="R11" i="3"/>
  <c r="R9" i="3"/>
  <c r="R8" i="3"/>
  <c r="R7" i="3"/>
  <c r="R6" i="3"/>
  <c r="Q62" i="3"/>
  <c r="Q61" i="3"/>
  <c r="Q60" i="3"/>
  <c r="Q59" i="3"/>
  <c r="Q58" i="3"/>
  <c r="Q57" i="3"/>
  <c r="Q56" i="3"/>
  <c r="Q55" i="3"/>
  <c r="Q54" i="3"/>
  <c r="Q53" i="3"/>
  <c r="Q47" i="3"/>
  <c r="Q48" i="3"/>
  <c r="Q46" i="3"/>
  <c r="Q45" i="3"/>
  <c r="Q43" i="3"/>
  <c r="Q42" i="3"/>
  <c r="Q41" i="3"/>
  <c r="Q40" i="3"/>
  <c r="Q39" i="3"/>
  <c r="Q12" i="3"/>
  <c r="Q11" i="3"/>
  <c r="Q10" i="3"/>
  <c r="Q9" i="3"/>
  <c r="Q8" i="3"/>
  <c r="Q7" i="3"/>
  <c r="Q6" i="3"/>
  <c r="P62" i="3"/>
  <c r="P61" i="3"/>
  <c r="P60" i="3"/>
  <c r="P58" i="3"/>
  <c r="P57" i="3"/>
  <c r="P56" i="3"/>
  <c r="P54" i="3"/>
  <c r="P55" i="3"/>
  <c r="P53" i="3"/>
  <c r="P48" i="3"/>
  <c r="P47" i="3"/>
  <c r="P46" i="3"/>
  <c r="P45" i="3"/>
  <c r="P39" i="3"/>
  <c r="P31" i="3"/>
  <c r="P12" i="3"/>
  <c r="P11" i="3"/>
  <c r="P10" i="3"/>
  <c r="P9" i="3"/>
  <c r="P8" i="3"/>
  <c r="P7" i="3"/>
  <c r="P6" i="3"/>
  <c r="O62" i="3"/>
  <c r="O61" i="3"/>
  <c r="O60" i="3"/>
  <c r="O59" i="3"/>
  <c r="O58" i="3"/>
  <c r="O57" i="3"/>
  <c r="O56" i="3"/>
  <c r="O55" i="3"/>
  <c r="O54" i="3"/>
  <c r="O53" i="3"/>
  <c r="O48" i="3"/>
  <c r="O47" i="3"/>
  <c r="O46" i="3"/>
  <c r="O45" i="3"/>
  <c r="O43" i="3"/>
  <c r="O42" i="3"/>
  <c r="O41" i="3"/>
  <c r="O40" i="3"/>
  <c r="O39" i="3"/>
  <c r="O12" i="3"/>
  <c r="O11" i="3"/>
  <c r="O10" i="3"/>
  <c r="O9" i="3"/>
  <c r="O8" i="3"/>
  <c r="O7" i="3"/>
  <c r="O6" i="3"/>
  <c r="N62" i="3"/>
  <c r="N61" i="3"/>
  <c r="N60" i="3"/>
  <c r="N59" i="3"/>
  <c r="N58" i="3"/>
  <c r="N57" i="3"/>
  <c r="N56" i="3"/>
  <c r="N55" i="3"/>
  <c r="N54" i="3"/>
  <c r="N53" i="3"/>
  <c r="N48" i="3"/>
  <c r="N47" i="3"/>
  <c r="N46" i="3"/>
  <c r="N45" i="3"/>
  <c r="N43" i="3"/>
  <c r="N42" i="3"/>
  <c r="N41" i="3"/>
  <c r="N40" i="3"/>
  <c r="N39" i="3"/>
  <c r="N12" i="3"/>
  <c r="N11" i="3"/>
  <c r="N10" i="3"/>
  <c r="N9" i="3"/>
  <c r="N8" i="3"/>
  <c r="N7" i="3"/>
  <c r="N6" i="3"/>
  <c r="M62" i="3"/>
  <c r="M61" i="3"/>
  <c r="M60" i="3"/>
  <c r="M59" i="3"/>
  <c r="M58" i="3"/>
  <c r="M57" i="3"/>
  <c r="M56" i="3"/>
  <c r="M55" i="3"/>
  <c r="M54" i="3"/>
  <c r="M53" i="3"/>
  <c r="M48" i="3"/>
  <c r="M47" i="3"/>
  <c r="M46" i="3"/>
  <c r="M45" i="3"/>
  <c r="M42" i="3"/>
  <c r="M41" i="3"/>
  <c r="M40" i="3"/>
  <c r="M39" i="3"/>
  <c r="M12" i="3"/>
  <c r="M11" i="3"/>
  <c r="M10" i="3"/>
  <c r="M9" i="3"/>
  <c r="M8" i="3"/>
  <c r="M6" i="3"/>
  <c r="L62" i="3"/>
  <c r="L61" i="3"/>
  <c r="L60" i="3"/>
  <c r="L59" i="3"/>
  <c r="L58" i="3"/>
  <c r="L57" i="3"/>
  <c r="L56" i="3"/>
  <c r="L55" i="3"/>
  <c r="L54" i="3"/>
  <c r="L53" i="3"/>
  <c r="L48" i="3"/>
  <c r="L47" i="3"/>
  <c r="L46" i="3"/>
  <c r="L45" i="3"/>
  <c r="L42" i="3"/>
  <c r="L43" i="3"/>
  <c r="L41" i="3"/>
  <c r="L40" i="3"/>
  <c r="L39" i="3"/>
  <c r="I31" i="3"/>
  <c r="L31" i="3"/>
  <c r="L12" i="3"/>
  <c r="L11" i="3"/>
  <c r="L10" i="3"/>
  <c r="L9" i="3"/>
  <c r="L8" i="3"/>
  <c r="L7" i="3"/>
  <c r="L6" i="3"/>
  <c r="K62" i="3"/>
  <c r="K61" i="3"/>
  <c r="K60" i="3"/>
  <c r="K59" i="3"/>
  <c r="K58" i="3"/>
  <c r="K57" i="3"/>
  <c r="K56" i="3"/>
  <c r="K55" i="3"/>
  <c r="K54" i="3"/>
  <c r="K53" i="3"/>
  <c r="K48" i="3"/>
  <c r="K47" i="3"/>
  <c r="K46" i="3"/>
  <c r="K45" i="3"/>
  <c r="K43" i="3"/>
  <c r="K42" i="3"/>
  <c r="K41" i="3"/>
  <c r="K40" i="3"/>
  <c r="K39" i="3"/>
  <c r="K12" i="3"/>
  <c r="K11" i="3"/>
  <c r="K10" i="3"/>
  <c r="K9" i="3"/>
  <c r="K8" i="3"/>
  <c r="K7" i="3"/>
  <c r="K6" i="3"/>
  <c r="J62" i="3"/>
  <c r="J61" i="3"/>
  <c r="J60" i="3"/>
  <c r="J59" i="3"/>
  <c r="J58" i="3"/>
  <c r="J57" i="3"/>
  <c r="J56" i="3"/>
  <c r="J55" i="3"/>
  <c r="J54" i="3"/>
  <c r="J53" i="3"/>
  <c r="J48" i="3"/>
  <c r="J47" i="3"/>
  <c r="J46" i="3"/>
  <c r="J45" i="3"/>
  <c r="J43" i="3"/>
  <c r="J42" i="3"/>
  <c r="J41" i="3"/>
  <c r="J40" i="3"/>
  <c r="J39" i="3"/>
  <c r="J12" i="3"/>
  <c r="J11" i="3"/>
  <c r="J10" i="3"/>
  <c r="J9" i="3"/>
  <c r="J8" i="3"/>
  <c r="J7" i="3"/>
  <c r="J6" i="3"/>
  <c r="I62" i="3"/>
  <c r="I61" i="3"/>
  <c r="I60" i="3"/>
  <c r="I59" i="3"/>
  <c r="I58" i="3"/>
  <c r="I57" i="3"/>
  <c r="I47" i="3"/>
  <c r="I46" i="3"/>
  <c r="I45" i="3"/>
  <c r="I43" i="3"/>
  <c r="I40" i="3"/>
  <c r="I39" i="3"/>
  <c r="I12" i="3"/>
  <c r="I11" i="3"/>
  <c r="I9" i="3"/>
  <c r="I8" i="3"/>
  <c r="I7" i="3"/>
  <c r="I6" i="3"/>
  <c r="H62" i="3"/>
  <c r="H61" i="3"/>
  <c r="H60" i="3"/>
  <c r="H59" i="3"/>
  <c r="H58" i="3"/>
  <c r="H57" i="3"/>
  <c r="H56" i="3"/>
  <c r="H55" i="3"/>
  <c r="H54" i="3"/>
  <c r="H53" i="3"/>
  <c r="H47" i="3"/>
  <c r="H48" i="3"/>
  <c r="H46" i="3"/>
  <c r="H45" i="3"/>
  <c r="H43" i="3"/>
  <c r="H42" i="3"/>
  <c r="H41" i="3"/>
  <c r="H40" i="3"/>
  <c r="H39" i="3"/>
  <c r="H12" i="3"/>
  <c r="H11" i="3"/>
  <c r="H10" i="3"/>
  <c r="H9" i="3"/>
  <c r="H8" i="3"/>
  <c r="H7" i="3"/>
  <c r="H6" i="3"/>
  <c r="G62" i="3"/>
  <c r="G61" i="3"/>
  <c r="G60" i="3"/>
  <c r="G59" i="3"/>
  <c r="G58" i="3"/>
  <c r="G57" i="3"/>
  <c r="G56" i="3"/>
  <c r="G55" i="3"/>
  <c r="G54" i="3"/>
  <c r="G53" i="3"/>
  <c r="G48" i="3"/>
  <c r="G47" i="3"/>
  <c r="G46" i="3"/>
  <c r="G45" i="3"/>
  <c r="G43" i="3"/>
  <c r="G42" i="3"/>
  <c r="G41" i="3"/>
  <c r="G40" i="3"/>
  <c r="G39" i="3"/>
  <c r="G38" i="3"/>
  <c r="G6" i="3"/>
  <c r="G12" i="3"/>
  <c r="G11" i="3"/>
  <c r="G10" i="3"/>
  <c r="G9" i="3"/>
  <c r="G8" i="3"/>
  <c r="G7" i="3"/>
  <c r="F62" i="3"/>
  <c r="F61" i="3"/>
  <c r="F60" i="3"/>
  <c r="F59" i="3"/>
  <c r="F58" i="3"/>
  <c r="F57" i="3"/>
  <c r="F56" i="3"/>
  <c r="F55" i="3"/>
  <c r="F54" i="3"/>
  <c r="F53" i="3"/>
  <c r="F48" i="3"/>
  <c r="F47" i="3"/>
  <c r="F45" i="3"/>
  <c r="F43" i="3"/>
  <c r="F42" i="3"/>
  <c r="F41" i="3"/>
  <c r="F40" i="3"/>
  <c r="F39" i="3"/>
  <c r="F12" i="3"/>
  <c r="F11" i="3"/>
  <c r="F10" i="3"/>
  <c r="F9" i="3"/>
  <c r="F8" i="3"/>
  <c r="F7" i="3"/>
  <c r="F6" i="3"/>
  <c r="E60" i="3"/>
  <c r="E59" i="3"/>
  <c r="E62" i="3"/>
  <c r="E61" i="3"/>
  <c r="E58" i="3"/>
  <c r="E57" i="3"/>
  <c r="E56" i="3"/>
  <c r="E55" i="3"/>
  <c r="E54" i="3"/>
  <c r="E53" i="3"/>
  <c r="E48" i="3"/>
  <c r="E47" i="3"/>
  <c r="E46" i="3"/>
  <c r="E45" i="3"/>
  <c r="E43" i="3"/>
  <c r="E42" i="3"/>
  <c r="E41" i="3"/>
  <c r="E40" i="3"/>
  <c r="E39" i="3"/>
  <c r="E12" i="3"/>
  <c r="E11" i="3"/>
  <c r="E10" i="3"/>
  <c r="E9" i="3"/>
  <c r="E8" i="3"/>
  <c r="E7" i="3"/>
  <c r="E6" i="3"/>
  <c r="Q26" i="3" l="1"/>
  <c r="P59" i="3"/>
  <c r="P43" i="3"/>
  <c r="P42" i="3"/>
  <c r="P41" i="3"/>
  <c r="P40" i="3"/>
  <c r="O26" i="3"/>
  <c r="P26" i="3"/>
  <c r="N26" i="3" l="1"/>
  <c r="M13" i="3"/>
  <c r="K13" i="3"/>
  <c r="C26" i="3"/>
  <c r="E26" i="3"/>
  <c r="F26" i="3"/>
  <c r="G26" i="3"/>
  <c r="H26" i="3"/>
  <c r="I26" i="3"/>
  <c r="J26" i="3"/>
  <c r="K26" i="3"/>
  <c r="L26" i="3"/>
  <c r="M26" i="3"/>
  <c r="R26" i="3"/>
  <c r="I42" i="3"/>
  <c r="I41" i="3"/>
  <c r="G13" i="3"/>
  <c r="F46" i="3"/>
  <c r="F31" i="3"/>
  <c r="E31" i="3"/>
  <c r="E13" i="3"/>
  <c r="H13" i="3"/>
  <c r="I13" i="3"/>
  <c r="J13" i="3"/>
  <c r="L13" i="3"/>
  <c r="N13" i="3"/>
  <c r="O13" i="3"/>
  <c r="P13" i="3"/>
  <c r="Q13" i="3"/>
  <c r="R13" i="3"/>
  <c r="F38" i="3"/>
  <c r="H38" i="3"/>
  <c r="I38" i="3"/>
  <c r="J38" i="3"/>
  <c r="K38" i="3"/>
  <c r="L38" i="3"/>
  <c r="M38" i="3"/>
  <c r="N38" i="3"/>
  <c r="O38" i="3"/>
  <c r="P38" i="3"/>
  <c r="Q38" i="3"/>
  <c r="R38" i="3"/>
  <c r="G31" i="3"/>
  <c r="H31" i="3"/>
  <c r="J31" i="3"/>
  <c r="K31" i="3"/>
  <c r="M31" i="3"/>
  <c r="N31" i="3"/>
  <c r="O31" i="3"/>
  <c r="Q31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F13" i="3"/>
  <c r="E15" i="3"/>
  <c r="D37" i="3" l="1"/>
  <c r="D31" i="3"/>
  <c r="C31" i="3"/>
  <c r="C38" i="3"/>
  <c r="C13" i="3"/>
  <c r="E38" i="3"/>
  <c r="C55" i="2" l="1"/>
  <c r="C54" i="2"/>
  <c r="C53" i="2"/>
  <c r="C52" i="2"/>
  <c r="C28" i="2"/>
  <c r="C27" i="2"/>
  <c r="C26" i="2"/>
  <c r="C25" i="2"/>
  <c r="O7" i="1" l="1"/>
  <c r="P7" i="1"/>
  <c r="N7" i="1"/>
  <c r="E158" i="1"/>
  <c r="G159" i="1"/>
  <c r="G158" i="1"/>
  <c r="G157" i="1"/>
  <c r="G156" i="1"/>
  <c r="G86" i="1"/>
  <c r="G24" i="1"/>
  <c r="G26" i="1" s="1"/>
  <c r="G27" i="1" s="1"/>
  <c r="G14" i="1"/>
  <c r="G18" i="1"/>
  <c r="R159" i="1"/>
  <c r="R158" i="1"/>
  <c r="R157" i="1"/>
  <c r="R156" i="1"/>
  <c r="R40" i="1"/>
  <c r="R24" i="1"/>
  <c r="R30" i="1" s="1"/>
  <c r="Q159" i="1"/>
  <c r="Q158" i="1"/>
  <c r="Q157" i="1"/>
  <c r="Q156" i="1"/>
  <c r="Q14" i="1"/>
  <c r="R14" i="1"/>
  <c r="Q18" i="1"/>
  <c r="R18" i="1"/>
  <c r="Q24" i="1"/>
  <c r="Q29" i="1" s="1"/>
  <c r="P159" i="1"/>
  <c r="P158" i="1"/>
  <c r="P157" i="1"/>
  <c r="P156" i="1"/>
  <c r="P18" i="1"/>
  <c r="P14" i="1"/>
  <c r="O158" i="1"/>
  <c r="O157" i="1"/>
  <c r="O156" i="1"/>
  <c r="O159" i="1"/>
  <c r="O14" i="1"/>
  <c r="N159" i="1"/>
  <c r="N158" i="1"/>
  <c r="N157" i="1"/>
  <c r="N156" i="1"/>
  <c r="N165" i="1"/>
  <c r="N154" i="1"/>
  <c r="N124" i="1"/>
  <c r="N24" i="1"/>
  <c r="N29" i="1" s="1"/>
  <c r="N19" i="1"/>
  <c r="N18" i="1" s="1"/>
  <c r="N14" i="1"/>
  <c r="O18" i="1"/>
  <c r="O24" i="1"/>
  <c r="O30" i="1" s="1"/>
  <c r="P24" i="1"/>
  <c r="P30" i="1" s="1"/>
  <c r="M158" i="1"/>
  <c r="M157" i="1"/>
  <c r="M159" i="1"/>
  <c r="M156" i="1"/>
  <c r="L159" i="1"/>
  <c r="L158" i="1"/>
  <c r="L157" i="1"/>
  <c r="L156" i="1"/>
  <c r="K159" i="1"/>
  <c r="K158" i="1"/>
  <c r="K157" i="1"/>
  <c r="K156" i="1"/>
  <c r="J159" i="1"/>
  <c r="J158" i="1"/>
  <c r="J157" i="1"/>
  <c r="J156" i="1"/>
  <c r="F159" i="1"/>
  <c r="F158" i="1"/>
  <c r="F157" i="1"/>
  <c r="F156" i="1"/>
  <c r="H159" i="1"/>
  <c r="H158" i="1"/>
  <c r="H157" i="1"/>
  <c r="H156" i="1"/>
  <c r="E159" i="1"/>
  <c r="E157" i="1"/>
  <c r="E156" i="1"/>
  <c r="E24" i="1"/>
  <c r="E26" i="1" s="1"/>
  <c r="I38" i="1"/>
  <c r="I24" i="1"/>
  <c r="I29" i="1" s="1"/>
  <c r="I18" i="1"/>
  <c r="H14" i="1"/>
  <c r="I14" i="1"/>
  <c r="H112" i="1"/>
  <c r="H24" i="1"/>
  <c r="H26" i="1" s="1"/>
  <c r="F24" i="1"/>
  <c r="F30" i="1" s="1"/>
  <c r="F18" i="1"/>
  <c r="F14" i="1"/>
  <c r="M58" i="1"/>
  <c r="M14" i="1"/>
  <c r="J117" i="1"/>
  <c r="J46" i="1"/>
  <c r="J18" i="1"/>
  <c r="E18" i="1"/>
  <c r="G30" i="1" l="1"/>
  <c r="G28" i="1"/>
  <c r="G29" i="1"/>
  <c r="F26" i="1"/>
  <c r="F27" i="1" s="1"/>
  <c r="N28" i="1"/>
  <c r="N30" i="1"/>
  <c r="E30" i="1"/>
  <c r="E28" i="1"/>
  <c r="E29" i="1"/>
  <c r="P26" i="1"/>
  <c r="P27" i="1" s="1"/>
  <c r="R28" i="1"/>
  <c r="O26" i="1"/>
  <c r="O27" i="1" s="1"/>
  <c r="P28" i="1"/>
  <c r="Q26" i="1"/>
  <c r="Q27" i="1" s="1"/>
  <c r="R29" i="1"/>
  <c r="R26" i="1"/>
  <c r="R27" i="1" s="1"/>
  <c r="O28" i="1"/>
  <c r="N26" i="1"/>
  <c r="N27" i="1" s="1"/>
  <c r="P29" i="1"/>
  <c r="Q28" i="1"/>
  <c r="Q30" i="1"/>
  <c r="O29" i="1"/>
  <c r="H28" i="1"/>
  <c r="H27" i="1"/>
  <c r="H30" i="1"/>
  <c r="F29" i="1"/>
  <c r="I30" i="1"/>
  <c r="H29" i="1"/>
  <c r="F28" i="1"/>
  <c r="I26" i="1"/>
  <c r="I27" i="1" s="1"/>
  <c r="I28" i="1"/>
  <c r="D18" i="1"/>
  <c r="D14" i="1"/>
  <c r="C53" i="1" l="1"/>
  <c r="E14" i="1"/>
  <c r="L24" i="1"/>
  <c r="M24" i="1"/>
  <c r="K24" i="1"/>
  <c r="K18" i="1"/>
  <c r="L18" i="1"/>
  <c r="M18" i="1"/>
  <c r="J24" i="1"/>
  <c r="H18" i="1"/>
  <c r="J14" i="1"/>
  <c r="K14" i="1"/>
  <c r="L14" i="1"/>
  <c r="E27" i="1"/>
  <c r="L29" i="1" l="1"/>
  <c r="L26" i="1"/>
  <c r="L27" i="1" s="1"/>
  <c r="L30" i="1"/>
  <c r="L28" i="1"/>
  <c r="J30" i="1"/>
  <c r="J26" i="1"/>
  <c r="J27" i="1" s="1"/>
  <c r="J28" i="1"/>
  <c r="J29" i="1"/>
  <c r="K26" i="1"/>
  <c r="K27" i="1" s="1"/>
  <c r="K29" i="1"/>
  <c r="K28" i="1"/>
  <c r="M30" i="1"/>
  <c r="M28" i="1"/>
  <c r="M26" i="1"/>
  <c r="M27" i="1" s="1"/>
  <c r="K30" i="1"/>
  <c r="M29" i="1"/>
</calcChain>
</file>

<file path=xl/sharedStrings.xml><?xml version="1.0" encoding="utf-8"?>
<sst xmlns="http://schemas.openxmlformats.org/spreadsheetml/2006/main" count="481" uniqueCount="260">
  <si>
    <t>Building</t>
  </si>
  <si>
    <t>Highway</t>
  </si>
  <si>
    <t>Federal</t>
  </si>
  <si>
    <t>South</t>
  </si>
  <si>
    <t>West</t>
  </si>
  <si>
    <t>Don't know</t>
  </si>
  <si>
    <t>Have not tried to hire</t>
  </si>
  <si>
    <t>No additional legislation is needed</t>
  </si>
  <si>
    <t>Multi-year surface transportation reauthorization with higher funding levels</t>
  </si>
  <si>
    <t>Summary of Results for 2020 AGC of America-Autodesk Workforce Survey</t>
  </si>
  <si>
    <t>No change</t>
  </si>
  <si>
    <t>Recalled furloughed/terminated employees</t>
  </si>
  <si>
    <t>Added employees</t>
  </si>
  <si>
    <t>Q2.   By what percentage has your firm’s headcount changed in the past 12 months?</t>
  </si>
  <si>
    <t xml:space="preserve">  -1% to -10%</t>
  </si>
  <si>
    <t xml:space="preserve">  -11% to -25%</t>
  </si>
  <si>
    <t xml:space="preserve">  1 to 10%</t>
  </si>
  <si>
    <t>Q3.  Did you furlough employees and then recall any? (mark all that apply)</t>
  </si>
  <si>
    <t>No, did not furlough any employees</t>
  </si>
  <si>
    <t>Have not tried to recall furloughed employees</t>
  </si>
  <si>
    <t>Tried to recall furloughed employees</t>
  </si>
  <si>
    <t xml:space="preserve">  % of firms that recalled employees reported:</t>
  </si>
  <si>
    <t xml:space="preserve">  All furloughed employees reported when recalled</t>
  </si>
  <si>
    <t xml:space="preserve">    Some cited preference for unemployment benefits</t>
  </si>
  <si>
    <t xml:space="preserve">    Some cited virus concerns or family responsibilities</t>
  </si>
  <si>
    <t>Q4. How would you describe your current situation in filling salaried positions?</t>
  </si>
  <si>
    <t>Having a hard time filling some or all salaried positions</t>
  </si>
  <si>
    <t>Having no difficulty filling any salaried positions</t>
  </si>
  <si>
    <t>Q5.  How would you describe your current situation in filling hourly craft positions?</t>
  </si>
  <si>
    <t>Having a hard time filling some/all hourly craft positions</t>
  </si>
  <si>
    <t>Having no difficulty filling any hourly craft positions</t>
  </si>
  <si>
    <t>We have no openings for hourly craft positons</t>
  </si>
  <si>
    <t>We have no openings for salaried positons</t>
  </si>
  <si>
    <t>Q6. How many unfilled salaried positions did you have on June 30, 2020?</t>
  </si>
  <si>
    <t>2-5</t>
  </si>
  <si>
    <t>Applied for employee-based visas (e.g., H-1B, H-2B)</t>
  </si>
  <si>
    <t>Engaged with career-building education program</t>
  </si>
  <si>
    <t>Engaged with gov. workforce or unemployment agency </t>
  </si>
  <si>
    <t>Executive and non-craft worker search firm or PEO</t>
  </si>
  <si>
    <t>Staffing firm (craft)</t>
  </si>
  <si>
    <t>Sub- or specialty contractors </t>
  </si>
  <si>
    <t>Unions</t>
  </si>
  <si>
    <t xml:space="preserve">Added Instagram Live sessions and other online strategies </t>
  </si>
  <si>
    <t>No changes</t>
  </si>
  <si>
    <t>Software to distribute job postings and manage applicants </t>
  </si>
  <si>
    <t>Added Lean construction personnel</t>
  </si>
  <si>
    <t>Trained personnel in Lean construction methods</t>
  </si>
  <si>
    <t>Augmented/mixed/virtual reality training devices</t>
  </si>
  <si>
    <t>Increased use of learning program with a strong online or video component (e.g., classes using Zoom or Teams)</t>
  </si>
  <si>
    <t>Lowered hiring standards (e.g., education, training, employment or arrest record)</t>
  </si>
  <si>
    <t>Raised hiring standards</t>
  </si>
  <si>
    <t>Initiated/increased spending on training/prof. development</t>
  </si>
  <si>
    <t>Decreased/eliminated spending on training/prof. devel.</t>
  </si>
  <si>
    <t>Overtime</t>
  </si>
  <si>
    <t>Initiated or increased online or mobile training options</t>
  </si>
  <si>
    <t>Architects</t>
  </si>
  <si>
    <t>BIM personnel</t>
  </si>
  <si>
    <t>Engineers</t>
  </si>
  <si>
    <t>Environmental compliance professionals</t>
  </si>
  <si>
    <t>IT personnel</t>
  </si>
  <si>
    <t>Lean construction professionals</t>
  </si>
  <si>
    <t>Project managers/supervisors</t>
  </si>
  <si>
    <t>Quality control personnel</t>
  </si>
  <si>
    <t>Safety personnel</t>
  </si>
  <si>
    <t>Software/database personnel</t>
  </si>
  <si>
    <t>Q7.  How many unfilled hourly craft positions did you have on June 30, 2020?</t>
  </si>
  <si>
    <t>Q8. Has your firm added or increased use of the following to provide workers in the last 6 months? (mark all that apply)</t>
  </si>
  <si>
    <t>Bricklayers</t>
  </si>
  <si>
    <t>Carpenters</t>
  </si>
  <si>
    <t>Cement masons</t>
  </si>
  <si>
    <t>Concrete workers</t>
  </si>
  <si>
    <t>Electricians</t>
  </si>
  <si>
    <t>Equipment operators-cranes, heavy equipment</t>
  </si>
  <si>
    <t>Installers-drywall</t>
  </si>
  <si>
    <t>Instalers-other</t>
  </si>
  <si>
    <t>Iron workers</t>
  </si>
  <si>
    <t>Laborers</t>
  </si>
  <si>
    <t>Mechanics</t>
  </si>
  <si>
    <t>Mllwrights</t>
  </si>
  <si>
    <t>Painters</t>
  </si>
  <si>
    <t>Pipefitters/welders</t>
  </si>
  <si>
    <t>Pipelayers</t>
  </si>
  <si>
    <t>Plumbers</t>
  </si>
  <si>
    <t>Roofers</t>
  </si>
  <si>
    <t>Sheet metal workers</t>
  </si>
  <si>
    <t>Traffic control personnel</t>
  </si>
  <si>
    <t>Truck drivers</t>
  </si>
  <si>
    <t>Increased base pay rates </t>
  </si>
  <si>
    <t>Provided incentives/bonuses </t>
  </si>
  <si>
    <t>Reduced base pay rates </t>
  </si>
  <si>
    <t>Q13. What technologies (hardware or software) have you employed recently to help alleviate any labor shortages your firm has experienced? (mark all that apply)</t>
  </si>
  <si>
    <t>Adopted or increased Lean construction methods</t>
  </si>
  <si>
    <t>Bidding</t>
  </si>
  <si>
    <t>Cost management/ERP</t>
  </si>
  <si>
    <t>Document/file management</t>
  </si>
  <si>
    <t>Estimating</t>
  </si>
  <si>
    <t>Project management</t>
  </si>
  <si>
    <t>Field collaboration</t>
  </si>
  <si>
    <t>Reality capture</t>
  </si>
  <si>
    <t>Site safety</t>
  </si>
  <si>
    <t>Virtual/augmented/mixed reality</t>
  </si>
  <si>
    <t>Workforce management</t>
  </si>
  <si>
    <t>No impact</t>
  </si>
  <si>
    <t>Projects have taken longer than we anticipated </t>
  </si>
  <si>
    <t>We have put higher prices into our bids or contracts </t>
  </si>
  <si>
    <t>We have put longer completion times into bids or contracts </t>
  </si>
  <si>
    <t>Costs have been higher than we anticipated </t>
  </si>
  <si>
    <t>Projects have taken less time or cost less than anticipated</t>
  </si>
  <si>
    <t>We have won additional projects/add-ons to current projects</t>
  </si>
  <si>
    <t>Projects under way have been halted</t>
  </si>
  <si>
    <t>Scheduled projects have been postponed or canceled</t>
  </si>
  <si>
    <t>Q15. What impact, if any, has the pandemic had on your firm’s safety and health program or performance?</t>
  </si>
  <si>
    <t>More reportable injuries and illnesses</t>
  </si>
  <si>
    <t>More jobsite hazards (physical and/or behavioral) identified in inspection reports</t>
  </si>
  <si>
    <t>More workers compensation claims</t>
  </si>
  <si>
    <t>Fewer reportable injuries and illnesses</t>
  </si>
  <si>
    <t>Fewer jobsite hazards (physical and/or behavioral) identified in inspection reports</t>
  </si>
  <si>
    <t>Fewer workers compensation claims</t>
  </si>
  <si>
    <t>Q17. If Congress takes further action to address the economic fallout from the coronavirus, which of these measures would be helpful to your business? (mark all that apply)</t>
  </si>
  <si>
    <t>Larger federal investment in all forms of public infrastructure and facilities</t>
  </si>
  <si>
    <t>Address funding shortfalls for multi-employer pension plans</t>
  </si>
  <si>
    <t>Funding for state DOTs to help prevent project delays as a result of lost revenue from the pandemic</t>
  </si>
  <si>
    <t>More funding for and flexibility in using loan programs to maintain cash flows</t>
  </si>
  <si>
    <t>Enact a pandemic risk insurance/covid-19 business and employee continuity and recovery fund</t>
  </si>
  <si>
    <t>Enact a “safe harbor” set of protocols to provide firms with protection from tort or employment liability for failing to prevent a covid-19 infection</t>
  </si>
  <si>
    <t>Q18. When do you expect your firm’s volume of business will return to its normal level relative to one year earlier?</t>
  </si>
  <si>
    <t>1-6 months</t>
  </si>
  <si>
    <t xml:space="preserve">  More than -25%</t>
  </si>
  <si>
    <t xml:space="preserve">  More than 10%</t>
  </si>
  <si>
    <t>More than 5</t>
  </si>
  <si>
    <t>No net change</t>
  </si>
  <si>
    <t>We expect to furlough employees temporarily</t>
  </si>
  <si>
    <t>We expect to terminate employees to reduce headcount</t>
  </si>
  <si>
    <t>We expect to recall furloughed/terminated employees</t>
  </si>
  <si>
    <t>We expect to add new employees</t>
  </si>
  <si>
    <t>Furloughed or terminated employees:</t>
  </si>
  <si>
    <t>Decrease:</t>
  </si>
  <si>
    <t>Increase:</t>
  </si>
  <si>
    <t xml:space="preserve">  Some recalled employees have refused to work:</t>
  </si>
  <si>
    <t xml:space="preserve">    Some cited other reasons (or unknown)</t>
  </si>
  <si>
    <t>Utility</t>
  </si>
  <si>
    <t>Infra-</t>
  </si>
  <si>
    <t>structure</t>
  </si>
  <si>
    <t>&amp; heavy</t>
  </si>
  <si>
    <t>6/9-17</t>
  </si>
  <si>
    <t>2019</t>
  </si>
  <si>
    <t>Q11.  If your firm is having trouble filling hourly craft positions, please indicate all the position types you are having trouble filling (mark all that apply) [2019: % harder to fill than one year ago]</t>
  </si>
  <si>
    <t>Q10. If your firm is having trouble filling salaried positions, please indicate all the position types you are having trouble filling (mark all that apply) [2019: % harder to fill than one year ago]</t>
  </si>
  <si>
    <t>Q14. What impact, if any, has the pandemic had on your firm’s projects? (mark all that apply) [2019: What impact if your firm is experiencing staffing challenges]</t>
  </si>
  <si>
    <t>More than 6 months (or never)</t>
  </si>
  <si>
    <t xml:space="preserve">  Furloughed employees</t>
  </si>
  <si>
    <t xml:space="preserve">  Terminated employees</t>
  </si>
  <si>
    <t>east</t>
  </si>
  <si>
    <t>North-</t>
  </si>
  <si>
    <t>Mid-</t>
  </si>
  <si>
    <t>west</t>
  </si>
  <si>
    <t>Q1. How has your firm’s headcount changed as a result of the pandemic?
(mark all that apply)</t>
  </si>
  <si>
    <t>Region</t>
  </si>
  <si>
    <t>Revenue Size</t>
  </si>
  <si>
    <t>$50M or less</t>
  </si>
  <si>
    <t>$50.1M-$500M</t>
  </si>
  <si>
    <t>Over $500M</t>
  </si>
  <si>
    <t>Union</t>
  </si>
  <si>
    <t>Always</t>
  </si>
  <si>
    <t>Open</t>
  </si>
  <si>
    <t>Shop</t>
  </si>
  <si>
    <t>Increased our portion of benefit contributions and/or improved employee benefits </t>
  </si>
  <si>
    <t>Reduced our portion of benefit contributions and/or scaled back employee benefits </t>
  </si>
  <si>
    <t>Q12. Has your firm adjusted pay and/or benefits for hourly craft or salaried personnel in the last 6 months? (mark all that apply) [2019: for hourly craft workers in the last year]</t>
  </si>
  <si>
    <t>Address federal unemployment benefits that serve as artificial barriers to returning people to work</t>
  </si>
  <si>
    <t>Total number of responses (number varies by question):</t>
  </si>
  <si>
    <t>Funding for direct federal and federal-aid projects to compensate employers during project delays/shutdowns due to coronavirus</t>
  </si>
  <si>
    <t>Volume already matches or exceeds year-ago level</t>
  </si>
  <si>
    <t>Q19. How do expect your firm’s headcount to change in the next 12 months? (mark all that apply) [2019: expect to add craft personnel]</t>
  </si>
  <si>
    <t>survey</t>
  </si>
  <si>
    <t>2020</t>
  </si>
  <si>
    <t>total</t>
  </si>
  <si>
    <t>&amp; trans-</t>
  </si>
  <si>
    <t>portation</t>
  </si>
  <si>
    <t>Q9. Has your firm made changes in hiring, training or scheduling in the last 6 months? (mark all that apply)</t>
  </si>
  <si>
    <t>US</t>
  </si>
  <si>
    <t>AL</t>
  </si>
  <si>
    <t>In the last 6 months, has your firm changed base pay rates or provided incentives or bonuses?</t>
  </si>
  <si>
    <t>Increased base pay rates</t>
  </si>
  <si>
    <t>Provided bonuses or incentives</t>
  </si>
  <si>
    <t>Reduced base pay rates</t>
  </si>
  <si>
    <t>Decrease</t>
  </si>
  <si>
    <t>Increase</t>
  </si>
  <si>
    <t>Q4. How would you describe your current situation in filling positions?</t>
  </si>
  <si>
    <t>Q14. What impact, if any, has the pandemic had on your firm’s projects? (mark all that apply)</t>
  </si>
  <si>
    <t>AK</t>
  </si>
  <si>
    <t>AZ</t>
  </si>
  <si>
    <t>CA</t>
  </si>
  <si>
    <t>CO</t>
  </si>
  <si>
    <t>FL</t>
  </si>
  <si>
    <t>GA</t>
  </si>
  <si>
    <t>IL</t>
  </si>
  <si>
    <t>ID</t>
  </si>
  <si>
    <t>IA</t>
  </si>
  <si>
    <t>KS</t>
  </si>
  <si>
    <t>KY</t>
  </si>
  <si>
    <t>LA</t>
  </si>
  <si>
    <t>MI</t>
  </si>
  <si>
    <t>MN</t>
  </si>
  <si>
    <t>MO</t>
  </si>
  <si>
    <t>NE</t>
  </si>
  <si>
    <t>NV</t>
  </si>
  <si>
    <t>NY</t>
  </si>
  <si>
    <t>NC</t>
  </si>
  <si>
    <t>OH</t>
  </si>
  <si>
    <t>OK</t>
  </si>
  <si>
    <t>OR</t>
  </si>
  <si>
    <t>PA</t>
  </si>
  <si>
    <t>TN</t>
  </si>
  <si>
    <t>TX</t>
  </si>
  <si>
    <t>UT</t>
  </si>
  <si>
    <t>VA</t>
  </si>
  <si>
    <t>SD</t>
  </si>
  <si>
    <t>WA</t>
  </si>
  <si>
    <t>WI</t>
  </si>
  <si>
    <t>Note: all %s are % of respondents to that question, not projects, dollars, employees, etc.</t>
  </si>
  <si>
    <t>Comparison of Selected Results for 31 States: US, AL-MO (see below for NE-WI):</t>
  </si>
  <si>
    <t>Total number of responses (number varies by question; states with 20 or more responses shown):</t>
  </si>
  <si>
    <t>Comparison of Selected Results for 31 States: US, NE-WI (see above for AL-MO):</t>
  </si>
  <si>
    <t>Highlighting: state's % is higher than US %; highlighted, bold, boxed: state has highest % among 31 states for that answer; boxed, unhighlighted: state has lowest % among 31 states for that answer</t>
  </si>
  <si>
    <t>Yes</t>
  </si>
  <si>
    <t>No</t>
  </si>
  <si>
    <t>10/7-19</t>
  </si>
  <si>
    <t>Furloughed or terminated employees</t>
  </si>
  <si>
    <t>8/4-26</t>
  </si>
  <si>
    <t>Q3. Aside from normal seasonal change, how has your firm’s headcount changed between March 1 and October 1 as a result of the pandemic? (mark all that apply)</t>
  </si>
  <si>
    <t>Q4.  Did you furlough employees and then recall any? (mark all that apply)</t>
  </si>
  <si>
    <t>Q5. If your firm tried to recall employees, please select which best describes your firm's experience (mark all that apply):</t>
  </si>
  <si>
    <t>Q6. Did an owner postpone or cancel work on any upcoming projects?</t>
  </si>
  <si>
    <t>Summary of Results for 2020 AGC of America Coronavirus Surveys</t>
  </si>
  <si>
    <t>Q8. When do you expect your firm’s volume of business will return to its normal level relative to one year earlier?</t>
  </si>
  <si>
    <t>Q10. If Congress takes further action to address the economic fallout from the coronavirus, which of these measures would be helpful to your business? (ranked 1, 2, or 3 out of 10 choices)[June &amp; August surveys: mark all that apply]</t>
  </si>
  <si>
    <t># of respondents</t>
  </si>
  <si>
    <t># of respondents (other than comment)</t>
  </si>
  <si>
    <t>Among firms that tried to recal furloughed employees:</t>
  </si>
  <si>
    <t xml:space="preserve">  Shortage of personal protective equipment</t>
  </si>
  <si>
    <t xml:space="preserve">  Shortage of const. materials, equip. or parts</t>
  </si>
  <si>
    <t xml:space="preserve">  Shortage of craftworkers/subcontractors</t>
  </si>
  <si>
    <t xml:space="preserve">  Shortage of government workers</t>
  </si>
  <si>
    <t xml:space="preserve">  Potentially infected person visited jobsite</t>
  </si>
  <si>
    <t xml:space="preserve">  Difficulties securing financing or covering cash flow needs</t>
  </si>
  <si>
    <t xml:space="preserve">  March-September 2020</t>
  </si>
  <si>
    <t xml:space="preserve">  October 2020 or later</t>
  </si>
  <si>
    <t xml:space="preserve">    October-December 2020</t>
  </si>
  <si>
    <t xml:space="preserve">    January-June 2021</t>
  </si>
  <si>
    <t xml:space="preserve">    July 2021 or later</t>
  </si>
  <si>
    <t xml:space="preserve">  Medical (e.g., hospital remodel, screening/testing facility, lab)</t>
  </si>
  <si>
    <t xml:space="preserve">  Other building (e.g., manufacturing, distribution, shelter)</t>
  </si>
  <si>
    <t xml:space="preserve">  Highway (e.g., more hours or lane closure allowed)</t>
  </si>
  <si>
    <t xml:space="preserve">  Utility infrastructure (new, maintenance, or repair)</t>
  </si>
  <si>
    <t xml:space="preserve">  Other (please specify)</t>
  </si>
  <si>
    <t>Q9. How do expect your firm’s headcount to change in the next 12 months?</t>
  </si>
  <si>
    <t>Q1. Are you currently experiencing any project delays or disruptions due to the following (mark all that apply):</t>
  </si>
  <si>
    <t xml:space="preserve">Q7. Since July 1, did you begin working on any new or expanded construction as a result of the pandemic?
</t>
  </si>
  <si>
    <t>Q2.  Have any suppliers notified you  that their deliveries will be late or canceled?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</si>
</sst>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rgb="FF333E4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u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/>
    <xf numFmtId="9" fontId="3" fillId="0" borderId="5" xfId="1" quotePrefix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/>
    <xf numFmtId="9" fontId="3" fillId="0" borderId="0" xfId="1" applyFont="1" applyFill="1" applyBorder="1" applyAlignment="1">
      <alignment horizontal="right"/>
    </xf>
    <xf numFmtId="9" fontId="3" fillId="0" borderId="7" xfId="1" applyFont="1" applyFill="1" applyBorder="1" applyAlignment="1">
      <alignment horizontal="right"/>
    </xf>
    <xf numFmtId="9" fontId="3" fillId="0" borderId="5" xfId="1" applyFont="1" applyFill="1" applyBorder="1" applyAlignment="1">
      <alignment horizontal="right"/>
    </xf>
    <xf numFmtId="9" fontId="3" fillId="0" borderId="0" xfId="1" applyFont="1" applyBorder="1"/>
    <xf numFmtId="9" fontId="3" fillId="0" borderId="5" xfId="1" applyFont="1" applyBorder="1"/>
    <xf numFmtId="9" fontId="3" fillId="0" borderId="0" xfId="1" applyFont="1" applyBorder="1" applyAlignment="1">
      <alignment horizontal="right"/>
    </xf>
    <xf numFmtId="0" fontId="3" fillId="0" borderId="0" xfId="0" applyFont="1" applyAlignment="1">
      <alignment vertical="top"/>
    </xf>
    <xf numFmtId="9" fontId="3" fillId="0" borderId="5" xfId="1" applyFont="1" applyBorder="1" applyAlignment="1">
      <alignment horizontal="right"/>
    </xf>
    <xf numFmtId="9" fontId="3" fillId="0" borderId="9" xfId="1" applyFont="1" applyBorder="1"/>
    <xf numFmtId="9" fontId="3" fillId="0" borderId="2" xfId="1" applyFont="1" applyBorder="1"/>
    <xf numFmtId="9" fontId="3" fillId="0" borderId="5" xfId="1" applyFont="1" applyBorder="1" applyAlignment="1">
      <alignment wrapText="1"/>
    </xf>
    <xf numFmtId="9" fontId="3" fillId="0" borderId="15" xfId="1" applyFont="1" applyBorder="1"/>
    <xf numFmtId="9" fontId="3" fillId="0" borderId="8" xfId="1" applyFont="1" applyBorder="1" applyAlignment="1">
      <alignment horizontal="right"/>
    </xf>
    <xf numFmtId="9" fontId="3" fillId="0" borderId="14" xfId="1" applyFont="1" applyBorder="1"/>
    <xf numFmtId="9" fontId="3" fillId="0" borderId="10" xfId="1" applyFont="1" applyBorder="1"/>
    <xf numFmtId="0" fontId="5" fillId="0" borderId="5" xfId="0" applyFont="1" applyBorder="1" applyAlignment="1">
      <alignment horizontal="left" wrapText="1"/>
    </xf>
    <xf numFmtId="9" fontId="3" fillId="0" borderId="8" xfId="1" quotePrefix="1" applyFont="1" applyBorder="1" applyAlignment="1">
      <alignment horizontal="right"/>
    </xf>
    <xf numFmtId="9" fontId="3" fillId="0" borderId="14" xfId="1" applyFont="1" applyFill="1" applyBorder="1" applyAlignment="1">
      <alignment horizontal="right"/>
    </xf>
    <xf numFmtId="9" fontId="3" fillId="0" borderId="15" xfId="1" applyFont="1" applyFill="1" applyBorder="1" applyAlignment="1">
      <alignment horizontal="right"/>
    </xf>
    <xf numFmtId="9" fontId="3" fillId="0" borderId="2" xfId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4" fillId="0" borderId="5" xfId="1" applyFont="1" applyFill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4" xfId="0" applyFont="1" applyBorder="1" applyAlignment="1">
      <alignment horizontal="left"/>
    </xf>
    <xf numFmtId="9" fontId="3" fillId="0" borderId="4" xfId="1" applyFont="1" applyBorder="1"/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6" fontId="3" fillId="0" borderId="5" xfId="0" quotePrefix="1" applyNumberFormat="1" applyFont="1" applyBorder="1" applyAlignment="1">
      <alignment horizontal="left"/>
    </xf>
    <xf numFmtId="9" fontId="3" fillId="0" borderId="11" xfId="1" applyFont="1" applyBorder="1" applyAlignment="1">
      <alignment horizontal="right"/>
    </xf>
    <xf numFmtId="9" fontId="4" fillId="0" borderId="8" xfId="1" applyFont="1" applyBorder="1" applyAlignment="1">
      <alignment horizontal="right"/>
    </xf>
    <xf numFmtId="9" fontId="5" fillId="0" borderId="8" xfId="1" applyFont="1" applyBorder="1" applyAlignment="1">
      <alignment horizontal="right"/>
    </xf>
    <xf numFmtId="9" fontId="6" fillId="0" borderId="8" xfId="1" applyFont="1" applyBorder="1" applyAlignment="1">
      <alignment horizontal="right"/>
    </xf>
    <xf numFmtId="9" fontId="3" fillId="0" borderId="8" xfId="1" applyFont="1" applyBorder="1" applyAlignment="1">
      <alignment horizontal="right" wrapText="1"/>
    </xf>
    <xf numFmtId="9" fontId="5" fillId="0" borderId="8" xfId="1" applyFont="1" applyBorder="1" applyAlignment="1">
      <alignment horizontal="right" wrapText="1"/>
    </xf>
    <xf numFmtId="9" fontId="3" fillId="0" borderId="3" xfId="1" applyFont="1" applyBorder="1" applyAlignment="1">
      <alignment horizontal="right"/>
    </xf>
    <xf numFmtId="9" fontId="3" fillId="0" borderId="4" xfId="1" applyFont="1" applyFill="1" applyBorder="1" applyAlignment="1">
      <alignment horizontal="right"/>
    </xf>
    <xf numFmtId="9" fontId="3" fillId="0" borderId="0" xfId="0" applyNumberFormat="1" applyFont="1" applyBorder="1"/>
    <xf numFmtId="9" fontId="3" fillId="0" borderId="9" xfId="0" applyNumberFormat="1" applyFont="1" applyBorder="1"/>
    <xf numFmtId="0" fontId="3" fillId="0" borderId="0" xfId="0" quotePrefix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9" fontId="4" fillId="0" borderId="5" xfId="1" quotePrefix="1" applyFont="1" applyBorder="1" applyAlignment="1">
      <alignment horizontal="right"/>
    </xf>
    <xf numFmtId="9" fontId="4" fillId="0" borderId="0" xfId="1" quotePrefix="1" applyFont="1" applyBorder="1" applyAlignment="1">
      <alignment horizontal="right"/>
    </xf>
    <xf numFmtId="0" fontId="4" fillId="0" borderId="0" xfId="0" applyFont="1" applyAlignment="1">
      <alignment horizontal="right"/>
    </xf>
    <xf numFmtId="9" fontId="3" fillId="0" borderId="10" xfId="1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9" fontId="3" fillId="0" borderId="5" xfId="1" applyFont="1" applyBorder="1" applyAlignment="1"/>
    <xf numFmtId="9" fontId="3" fillId="0" borderId="0" xfId="1" applyFont="1" applyBorder="1" applyAlignment="1"/>
    <xf numFmtId="9" fontId="4" fillId="0" borderId="8" xfId="1" applyFont="1" applyBorder="1" applyAlignment="1"/>
    <xf numFmtId="9" fontId="4" fillId="0" borderId="5" xfId="1" applyFont="1" applyBorder="1" applyAlignment="1"/>
    <xf numFmtId="9" fontId="4" fillId="0" borderId="7" xfId="1" applyFont="1" applyBorder="1" applyAlignment="1"/>
    <xf numFmtId="9" fontId="4" fillId="0" borderId="0" xfId="1" applyFont="1" applyBorder="1" applyAlignment="1"/>
    <xf numFmtId="9" fontId="3" fillId="0" borderId="7" xfId="1" applyFont="1" applyBorder="1" applyAlignment="1"/>
    <xf numFmtId="0" fontId="3" fillId="0" borderId="14" xfId="0" applyFont="1" applyBorder="1" applyAlignment="1"/>
    <xf numFmtId="0" fontId="3" fillId="0" borderId="12" xfId="0" applyFont="1" applyBorder="1" applyAlignment="1"/>
    <xf numFmtId="9" fontId="3" fillId="0" borderId="5" xfId="1" applyFont="1" applyFill="1" applyBorder="1" applyAlignment="1"/>
    <xf numFmtId="9" fontId="3" fillId="0" borderId="0" xfId="1" applyFont="1" applyFill="1" applyBorder="1" applyAlignment="1"/>
    <xf numFmtId="9" fontId="3" fillId="0" borderId="9" xfId="1" applyFont="1" applyBorder="1" applyAlignment="1"/>
    <xf numFmtId="9" fontId="5" fillId="0" borderId="0" xfId="0" applyNumberFormat="1" applyFont="1" applyBorder="1" applyAlignment="1"/>
    <xf numFmtId="9" fontId="5" fillId="0" borderId="5" xfId="0" applyNumberFormat="1" applyFont="1" applyBorder="1" applyAlignment="1"/>
    <xf numFmtId="9" fontId="5" fillId="0" borderId="5" xfId="1" applyFont="1" applyBorder="1" applyAlignment="1"/>
    <xf numFmtId="9" fontId="5" fillId="0" borderId="3" xfId="1" applyFont="1" applyBorder="1" applyAlignment="1"/>
    <xf numFmtId="9" fontId="5" fillId="0" borderId="4" xfId="0" applyNumberFormat="1" applyFont="1" applyBorder="1" applyAlignment="1"/>
    <xf numFmtId="9" fontId="3" fillId="0" borderId="11" xfId="1" applyFont="1" applyBorder="1" applyAlignment="1"/>
    <xf numFmtId="9" fontId="3" fillId="0" borderId="8" xfId="1" applyFont="1" applyBorder="1" applyAlignment="1"/>
    <xf numFmtId="9" fontId="3" fillId="0" borderId="0" xfId="1" applyFont="1" applyAlignment="1"/>
    <xf numFmtId="9" fontId="3" fillId="0" borderId="0" xfId="0" applyNumberFormat="1" applyFont="1" applyBorder="1" applyAlignment="1"/>
    <xf numFmtId="9" fontId="3" fillId="0" borderId="9" xfId="0" applyNumberFormat="1" applyFont="1" applyBorder="1" applyAlignment="1"/>
    <xf numFmtId="9" fontId="3" fillId="0" borderId="3" xfId="1" applyFont="1" applyBorder="1" applyAlignment="1"/>
    <xf numFmtId="9" fontId="3" fillId="0" borderId="2" xfId="0" applyNumberFormat="1" applyFont="1" applyBorder="1" applyAlignment="1"/>
    <xf numFmtId="9" fontId="3" fillId="0" borderId="2" xfId="1" applyFont="1" applyBorder="1" applyAlignment="1"/>
    <xf numFmtId="9" fontId="3" fillId="0" borderId="4" xfId="1" applyFont="1" applyBorder="1" applyAlignment="1"/>
    <xf numFmtId="0" fontId="4" fillId="0" borderId="7" xfId="0" applyFont="1" applyBorder="1" applyAlignment="1">
      <alignment horizontal="right" vertical="top"/>
    </xf>
    <xf numFmtId="0" fontId="3" fillId="0" borderId="12" xfId="0" applyFont="1" applyBorder="1" applyAlignment="1">
      <alignment vertical="top"/>
    </xf>
    <xf numFmtId="9" fontId="3" fillId="0" borderId="5" xfId="0" applyNumberFormat="1" applyFont="1" applyBorder="1" applyAlignment="1"/>
    <xf numFmtId="9" fontId="3" fillId="0" borderId="10" xfId="0" applyNumberFormat="1" applyFont="1" applyBorder="1" applyAlignment="1"/>
    <xf numFmtId="9" fontId="3" fillId="0" borderId="4" xfId="0" applyNumberFormat="1" applyFont="1" applyBorder="1" applyAlignment="1"/>
    <xf numFmtId="0" fontId="3" fillId="0" borderId="15" xfId="0" applyFont="1" applyBorder="1" applyAlignment="1"/>
    <xf numFmtId="0" fontId="4" fillId="0" borderId="0" xfId="0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9" fontId="3" fillId="0" borderId="13" xfId="1" applyFont="1" applyFill="1" applyBorder="1" applyAlignment="1">
      <alignment horizontal="right"/>
    </xf>
    <xf numFmtId="9" fontId="5" fillId="0" borderId="2" xfId="0" applyNumberFormat="1" applyFont="1" applyBorder="1" applyAlignment="1"/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/>
    <xf numFmtId="1" fontId="3" fillId="0" borderId="4" xfId="1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9" fontId="3" fillId="0" borderId="6" xfId="1" quotePrefix="1" applyFont="1" applyBorder="1" applyAlignment="1">
      <alignment horizontal="right"/>
    </xf>
    <xf numFmtId="0" fontId="3" fillId="0" borderId="15" xfId="1" quotePrefix="1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0" fontId="3" fillId="0" borderId="8" xfId="0" applyFont="1" applyBorder="1"/>
    <xf numFmtId="0" fontId="4" fillId="0" borderId="6" xfId="1" quotePrefix="1" applyNumberFormat="1" applyFont="1" applyBorder="1" applyAlignment="1">
      <alignment horizontal="right"/>
    </xf>
    <xf numFmtId="0" fontId="4" fillId="0" borderId="14" xfId="0" quotePrefix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9" fontId="7" fillId="0" borderId="14" xfId="1" applyFont="1" applyBorder="1"/>
    <xf numFmtId="9" fontId="3" fillId="0" borderId="0" xfId="0" applyNumberFormat="1" applyFont="1" applyAlignment="1"/>
    <xf numFmtId="9" fontId="4" fillId="0" borderId="14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9" fontId="7" fillId="0" borderId="0" xfId="1" applyFont="1" applyBorder="1"/>
    <xf numFmtId="0" fontId="3" fillId="2" borderId="5" xfId="0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" fontId="3" fillId="2" borderId="4" xfId="1" applyNumberFormat="1" applyFont="1" applyFill="1" applyBorder="1" applyAlignment="1">
      <alignment horizontal="right"/>
    </xf>
    <xf numFmtId="9" fontId="3" fillId="2" borderId="5" xfId="1" applyFont="1" applyFill="1" applyBorder="1" applyAlignment="1">
      <alignment horizontal="right"/>
    </xf>
    <xf numFmtId="9" fontId="3" fillId="2" borderId="11" xfId="1" applyFont="1" applyFill="1" applyBorder="1" applyAlignment="1">
      <alignment horizontal="right"/>
    </xf>
    <xf numFmtId="9" fontId="3" fillId="2" borderId="8" xfId="1" applyFont="1" applyFill="1" applyBorder="1" applyAlignment="1">
      <alignment horizontal="right"/>
    </xf>
    <xf numFmtId="9" fontId="3" fillId="2" borderId="8" xfId="1" applyFont="1" applyFill="1" applyBorder="1" applyAlignment="1">
      <alignment horizontal="right" wrapText="1"/>
    </xf>
    <xf numFmtId="9" fontId="3" fillId="2" borderId="3" xfId="1" applyFont="1" applyFill="1" applyBorder="1" applyAlignment="1">
      <alignment horizontal="right"/>
    </xf>
    <xf numFmtId="9" fontId="3" fillId="2" borderId="0" xfId="1" applyFont="1" applyFill="1" applyBorder="1" applyAlignment="1">
      <alignment horizontal="right"/>
    </xf>
    <xf numFmtId="9" fontId="3" fillId="2" borderId="6" xfId="1" quotePrefix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/>
    </xf>
    <xf numFmtId="0" fontId="3" fillId="2" borderId="12" xfId="0" applyFont="1" applyFill="1" applyBorder="1" applyAlignment="1">
      <alignment vertical="top"/>
    </xf>
    <xf numFmtId="0" fontId="3" fillId="2" borderId="1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left"/>
    </xf>
    <xf numFmtId="9" fontId="3" fillId="2" borderId="0" xfId="1" applyFont="1" applyFill="1" applyAlignment="1"/>
    <xf numFmtId="9" fontId="3" fillId="2" borderId="14" xfId="1" quotePrefix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9" fontId="4" fillId="2" borderId="7" xfId="1" applyFont="1" applyFill="1" applyBorder="1" applyAlignment="1">
      <alignment horizontal="right"/>
    </xf>
    <xf numFmtId="1" fontId="3" fillId="2" borderId="2" xfId="1" applyNumberFormat="1" applyFont="1" applyFill="1" applyBorder="1" applyAlignment="1">
      <alignment horizontal="right"/>
    </xf>
    <xf numFmtId="9" fontId="3" fillId="2" borderId="9" xfId="1" applyFont="1" applyFill="1" applyBorder="1" applyAlignment="1">
      <alignment horizontal="right"/>
    </xf>
    <xf numFmtId="9" fontId="4" fillId="2" borderId="0" xfId="1" applyFont="1" applyFill="1" applyBorder="1" applyAlignment="1">
      <alignment horizontal="right"/>
    </xf>
    <xf numFmtId="9" fontId="3" fillId="2" borderId="7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4" xfId="0" applyFont="1" applyFill="1" applyBorder="1" applyAlignment="1">
      <alignment horizontal="left" vertical="top" wrapText="1"/>
    </xf>
    <xf numFmtId="1" fontId="3" fillId="2" borderId="8" xfId="1" applyNumberFormat="1" applyFont="1" applyFill="1" applyBorder="1" applyAlignment="1">
      <alignment horizontal="right"/>
    </xf>
    <xf numFmtId="9" fontId="7" fillId="2" borderId="8" xfId="1" applyFont="1" applyFill="1" applyBorder="1" applyAlignment="1">
      <alignment horizontal="right"/>
    </xf>
    <xf numFmtId="9" fontId="7" fillId="2" borderId="8" xfId="1" applyFont="1" applyFill="1" applyBorder="1" applyAlignment="1"/>
    <xf numFmtId="9" fontId="7" fillId="2" borderId="8" xfId="1" applyFont="1" applyFill="1" applyBorder="1"/>
    <xf numFmtId="9" fontId="9" fillId="2" borderId="8" xfId="1" applyFont="1" applyFill="1" applyBorder="1" applyAlignment="1">
      <alignment horizontal="right"/>
    </xf>
    <xf numFmtId="1" fontId="7" fillId="2" borderId="8" xfId="1" applyNumberFormat="1" applyFont="1" applyFill="1" applyBorder="1" applyAlignment="1"/>
    <xf numFmtId="9" fontId="7" fillId="2" borderId="5" xfId="1" applyFont="1" applyFill="1" applyBorder="1" applyAlignment="1"/>
    <xf numFmtId="1" fontId="7" fillId="2" borderId="8" xfId="1" applyNumberFormat="1" applyFont="1" applyFill="1" applyBorder="1" applyAlignment="1">
      <alignment horizontal="right"/>
    </xf>
    <xf numFmtId="9" fontId="7" fillId="2" borderId="3" xfId="1" applyFont="1" applyFill="1" applyBorder="1" applyAlignment="1">
      <alignment horizontal="right"/>
    </xf>
    <xf numFmtId="9" fontId="7" fillId="2" borderId="6" xfId="1" quotePrefix="1" applyFont="1" applyFill="1" applyBorder="1" applyAlignment="1">
      <alignment horizontal="right"/>
    </xf>
    <xf numFmtId="9" fontId="7" fillId="2" borderId="0" xfId="1" applyFont="1" applyFill="1" applyAlignment="1"/>
    <xf numFmtId="9" fontId="7" fillId="2" borderId="6" xfId="1" applyFont="1" applyFill="1" applyBorder="1" applyAlignment="1"/>
    <xf numFmtId="0" fontId="8" fillId="2" borderId="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 wrapText="1"/>
    </xf>
    <xf numFmtId="0" fontId="8" fillId="2" borderId="18" xfId="0" applyFont="1" applyFill="1" applyBorder="1"/>
    <xf numFmtId="9" fontId="3" fillId="2" borderId="17" xfId="1" applyFont="1" applyFill="1" applyBorder="1" applyAlignment="1">
      <alignment horizontal="right"/>
    </xf>
    <xf numFmtId="9" fontId="3" fillId="2" borderId="19" xfId="1" applyFont="1" applyFill="1" applyBorder="1" applyAlignment="1">
      <alignment horizontal="right"/>
    </xf>
    <xf numFmtId="9" fontId="7" fillId="2" borderId="17" xfId="1" applyFont="1" applyFill="1" applyBorder="1" applyAlignment="1">
      <alignment horizontal="right"/>
    </xf>
    <xf numFmtId="9" fontId="7" fillId="2" borderId="17" xfId="1" applyFont="1" applyFill="1" applyBorder="1" applyAlignment="1"/>
    <xf numFmtId="0" fontId="3" fillId="2" borderId="18" xfId="0" applyFont="1" applyFill="1" applyBorder="1" applyAlignment="1">
      <alignment horizontal="left"/>
    </xf>
    <xf numFmtId="9" fontId="3" fillId="2" borderId="18" xfId="1" applyFont="1" applyFill="1" applyBorder="1" applyAlignment="1">
      <alignment horizontal="right"/>
    </xf>
    <xf numFmtId="9" fontId="7" fillId="2" borderId="17" xfId="1" applyFont="1" applyFill="1" applyBorder="1"/>
    <xf numFmtId="0" fontId="3" fillId="2" borderId="19" xfId="0" applyFont="1" applyFill="1" applyBorder="1"/>
    <xf numFmtId="9" fontId="7" fillId="2" borderId="18" xfId="1" applyFont="1" applyFill="1" applyBorder="1" applyAlignment="1"/>
    <xf numFmtId="0" fontId="3" fillId="2" borderId="1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9" fontId="3" fillId="2" borderId="17" xfId="1" applyFont="1" applyFill="1" applyBorder="1" applyAlignment="1"/>
    <xf numFmtId="9" fontId="4" fillId="2" borderId="19" xfId="1" applyFont="1" applyFill="1" applyBorder="1" applyAlignment="1"/>
    <xf numFmtId="9" fontId="7" fillId="2" borderId="13" xfId="1" quotePrefix="1" applyFont="1" applyFill="1" applyBorder="1" applyAlignment="1">
      <alignment horizontal="right"/>
    </xf>
    <xf numFmtId="9" fontId="7" fillId="2" borderId="7" xfId="1" applyFont="1" applyFill="1" applyBorder="1" applyAlignment="1">
      <alignment horizontal="right"/>
    </xf>
    <xf numFmtId="9" fontId="9" fillId="2" borderId="7" xfId="1" applyFont="1" applyFill="1" applyBorder="1" applyAlignment="1">
      <alignment horizontal="right"/>
    </xf>
    <xf numFmtId="0" fontId="7" fillId="2" borderId="1" xfId="1" applyNumberFormat="1" applyFont="1" applyFill="1" applyBorder="1" applyAlignment="1">
      <alignment horizontal="right"/>
    </xf>
    <xf numFmtId="9" fontId="7" fillId="2" borderId="12" xfId="1" applyFont="1" applyFill="1" applyBorder="1" applyAlignment="1"/>
    <xf numFmtId="9" fontId="7" fillId="2" borderId="16" xfId="1" applyFont="1" applyFill="1" applyBorder="1" applyAlignment="1">
      <alignment horizontal="right"/>
    </xf>
    <xf numFmtId="9" fontId="7" fillId="2" borderId="13" xfId="1" applyFont="1" applyFill="1" applyBorder="1" applyAlignment="1"/>
    <xf numFmtId="9" fontId="7" fillId="2" borderId="16" xfId="1" applyFont="1" applyFill="1" applyBorder="1" applyAlignment="1"/>
    <xf numFmtId="9" fontId="7" fillId="2" borderId="7" xfId="1" applyFont="1" applyFill="1" applyBorder="1" applyAlignment="1"/>
    <xf numFmtId="9" fontId="7" fillId="2" borderId="7" xfId="1" applyFont="1" applyFill="1" applyBorder="1"/>
    <xf numFmtId="9" fontId="7" fillId="2" borderId="16" xfId="1" applyFont="1" applyFill="1" applyBorder="1"/>
    <xf numFmtId="1" fontId="7" fillId="2" borderId="7" xfId="1" applyNumberFormat="1" applyFont="1" applyFill="1" applyBorder="1" applyAlignment="1"/>
    <xf numFmtId="9" fontId="7" fillId="2" borderId="0" xfId="1" applyFont="1" applyFill="1" applyBorder="1" applyAlignment="1"/>
    <xf numFmtId="9" fontId="7" fillId="2" borderId="19" xfId="1" applyFont="1" applyFill="1" applyBorder="1" applyAlignment="1"/>
    <xf numFmtId="1" fontId="7" fillId="2" borderId="7" xfId="1" applyNumberFormat="1" applyFont="1" applyFill="1" applyBorder="1" applyAlignment="1">
      <alignment horizontal="right"/>
    </xf>
    <xf numFmtId="9" fontId="7" fillId="2" borderId="1" xfId="1" applyFont="1" applyFill="1" applyBorder="1" applyAlignment="1">
      <alignment horizontal="right"/>
    </xf>
    <xf numFmtId="9" fontId="7" fillId="2" borderId="5" xfId="1" applyFont="1" applyFill="1" applyBorder="1" applyAlignment="1">
      <alignment horizontal="right"/>
    </xf>
    <xf numFmtId="9" fontId="7" fillId="2" borderId="18" xfId="1" applyFont="1" applyFill="1" applyBorder="1" applyAlignment="1">
      <alignment horizontal="right"/>
    </xf>
    <xf numFmtId="9" fontId="7" fillId="2" borderId="5" xfId="1" applyFont="1" applyFill="1" applyBorder="1"/>
    <xf numFmtId="9" fontId="9" fillId="2" borderId="5" xfId="1" applyFont="1" applyFill="1" applyBorder="1" applyAlignment="1">
      <alignment horizontal="right"/>
    </xf>
    <xf numFmtId="9" fontId="7" fillId="2" borderId="18" xfId="1" applyFont="1" applyFill="1" applyBorder="1"/>
    <xf numFmtId="1" fontId="7" fillId="2" borderId="5" xfId="1" applyNumberFormat="1" applyFont="1" applyFill="1" applyBorder="1" applyAlignment="1"/>
    <xf numFmtId="1" fontId="7" fillId="2" borderId="5" xfId="1" applyNumberFormat="1" applyFont="1" applyFill="1" applyBorder="1" applyAlignment="1">
      <alignment horizontal="right"/>
    </xf>
    <xf numFmtId="9" fontId="7" fillId="2" borderId="4" xfId="1" applyFont="1" applyFill="1" applyBorder="1" applyAlignment="1">
      <alignment horizontal="right"/>
    </xf>
    <xf numFmtId="9" fontId="7" fillId="2" borderId="31" xfId="1" applyFont="1" applyFill="1" applyBorder="1" applyAlignment="1">
      <alignment horizontal="right"/>
    </xf>
    <xf numFmtId="9" fontId="7" fillId="2" borderId="32" xfId="1" applyFont="1" applyFill="1" applyBorder="1" applyAlignment="1">
      <alignment horizontal="right"/>
    </xf>
    <xf numFmtId="9" fontId="7" fillId="2" borderId="33" xfId="1" applyFont="1" applyFill="1" applyBorder="1" applyAlignment="1">
      <alignment horizontal="right"/>
    </xf>
    <xf numFmtId="9" fontId="7" fillId="2" borderId="34" xfId="1" applyFont="1" applyFill="1" applyBorder="1" applyAlignment="1">
      <alignment horizontal="right"/>
    </xf>
    <xf numFmtId="9" fontId="7" fillId="2" borderId="33" xfId="1" applyFont="1" applyFill="1" applyBorder="1" applyAlignment="1"/>
    <xf numFmtId="9" fontId="7" fillId="2" borderId="34" xfId="1" applyFont="1" applyFill="1" applyBorder="1" applyAlignment="1"/>
    <xf numFmtId="9" fontId="7" fillId="2" borderId="31" xfId="1" applyFont="1" applyFill="1" applyBorder="1" applyAlignment="1"/>
    <xf numFmtId="9" fontId="7" fillId="2" borderId="32" xfId="1" applyFont="1" applyFill="1" applyBorder="1" applyAlignment="1"/>
    <xf numFmtId="9" fontId="7" fillId="2" borderId="31" xfId="1" applyFont="1" applyFill="1" applyBorder="1"/>
    <xf numFmtId="9" fontId="7" fillId="2" borderId="32" xfId="1" applyFont="1" applyFill="1" applyBorder="1"/>
    <xf numFmtId="9" fontId="9" fillId="2" borderId="31" xfId="1" applyFont="1" applyFill="1" applyBorder="1" applyAlignment="1">
      <alignment horizontal="right"/>
    </xf>
    <xf numFmtId="9" fontId="9" fillId="2" borderId="32" xfId="1" applyFont="1" applyFill="1" applyBorder="1" applyAlignment="1">
      <alignment horizontal="right"/>
    </xf>
    <xf numFmtId="9" fontId="7" fillId="2" borderId="33" xfId="1" applyFont="1" applyFill="1" applyBorder="1"/>
    <xf numFmtId="9" fontId="7" fillId="2" borderId="34" xfId="1" applyFont="1" applyFill="1" applyBorder="1"/>
    <xf numFmtId="9" fontId="7" fillId="2" borderId="24" xfId="1" applyFont="1" applyFill="1" applyBorder="1" applyAlignment="1">
      <alignment horizontal="right"/>
    </xf>
    <xf numFmtId="1" fontId="7" fillId="2" borderId="31" xfId="1" applyNumberFormat="1" applyFont="1" applyFill="1" applyBorder="1" applyAlignment="1"/>
    <xf numFmtId="1" fontId="7" fillId="2" borderId="32" xfId="1" applyNumberFormat="1" applyFont="1" applyFill="1" applyBorder="1" applyAlignment="1"/>
    <xf numFmtId="9" fontId="7" fillId="2" borderId="26" xfId="1" applyFont="1" applyFill="1" applyBorder="1" applyAlignment="1"/>
    <xf numFmtId="9" fontId="7" fillId="2" borderId="36" xfId="1" applyFont="1" applyFill="1" applyBorder="1" applyAlignment="1"/>
    <xf numFmtId="1" fontId="7" fillId="2" borderId="32" xfId="1" applyNumberFormat="1" applyFont="1" applyFill="1" applyBorder="1" applyAlignment="1">
      <alignment horizontal="right"/>
    </xf>
    <xf numFmtId="9" fontId="7" fillId="2" borderId="37" xfId="1" applyFont="1" applyFill="1" applyBorder="1" applyAlignment="1">
      <alignment horizontal="right"/>
    </xf>
    <xf numFmtId="9" fontId="7" fillId="2" borderId="38" xfId="1" applyFont="1" applyFill="1" applyBorder="1" applyAlignment="1">
      <alignment horizontal="right"/>
    </xf>
    <xf numFmtId="9" fontId="7" fillId="2" borderId="39" xfId="1" applyFont="1" applyFill="1" applyBorder="1" applyAlignment="1">
      <alignment horizontal="right"/>
    </xf>
    <xf numFmtId="1" fontId="7" fillId="2" borderId="31" xfId="1" applyNumberFormat="1" applyFont="1" applyFill="1" applyBorder="1" applyAlignment="1">
      <alignment horizontal="right"/>
    </xf>
    <xf numFmtId="9" fontId="9" fillId="2" borderId="0" xfId="1" applyFont="1" applyFill="1" applyBorder="1" applyAlignment="1">
      <alignment horizontal="right"/>
    </xf>
    <xf numFmtId="9" fontId="7" fillId="2" borderId="42" xfId="1" applyFont="1" applyFill="1" applyBorder="1" applyAlignment="1">
      <alignment horizontal="right"/>
    </xf>
    <xf numFmtId="9" fontId="7" fillId="2" borderId="7" xfId="1" applyNumberFormat="1" applyFont="1" applyFill="1" applyBorder="1" applyAlignment="1">
      <alignment horizontal="right"/>
    </xf>
    <xf numFmtId="9" fontId="7" fillId="2" borderId="8" xfId="1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4" xfId="0" quotePrefix="1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7" fillId="2" borderId="24" xfId="0" quotePrefix="1" applyFont="1" applyFill="1" applyBorder="1" applyAlignment="1">
      <alignment horizontal="right"/>
    </xf>
    <xf numFmtId="0" fontId="7" fillId="2" borderId="0" xfId="0" quotePrefix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9" fontId="7" fillId="2" borderId="0" xfId="1" quotePrefix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9" fontId="9" fillId="2" borderId="24" xfId="1" quotePrefix="1" applyFont="1" applyFill="1" applyBorder="1" applyAlignment="1">
      <alignment horizontal="right"/>
    </xf>
    <xf numFmtId="9" fontId="9" fillId="2" borderId="0" xfId="1" quotePrefix="1" applyFont="1" applyFill="1" applyBorder="1" applyAlignment="1">
      <alignment horizontal="right"/>
    </xf>
    <xf numFmtId="9" fontId="9" fillId="2" borderId="26" xfId="1" quotePrefix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2" xfId="0" applyNumberFormat="1" applyFont="1" applyFill="1" applyBorder="1" applyAlignment="1">
      <alignment horizontal="right"/>
    </xf>
    <xf numFmtId="1" fontId="7" fillId="2" borderId="28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right"/>
    </xf>
    <xf numFmtId="0" fontId="7" fillId="2" borderId="29" xfId="0" applyFont="1" applyFill="1" applyBorder="1" applyAlignment="1"/>
    <xf numFmtId="0" fontId="7" fillId="2" borderId="9" xfId="0" applyFont="1" applyFill="1" applyBorder="1" applyAlignment="1"/>
    <xf numFmtId="0" fontId="7" fillId="2" borderId="30" xfId="0" applyFont="1" applyFill="1" applyBorder="1" applyAlignment="1"/>
    <xf numFmtId="0" fontId="7" fillId="2" borderId="10" xfId="0" applyFont="1" applyFill="1" applyBorder="1" applyAlignment="1"/>
    <xf numFmtId="0" fontId="3" fillId="2" borderId="9" xfId="0" applyFont="1" applyFill="1" applyBorder="1"/>
    <xf numFmtId="0" fontId="3" fillId="2" borderId="0" xfId="0" applyFont="1" applyFill="1"/>
    <xf numFmtId="9" fontId="7" fillId="2" borderId="35" xfId="1" applyFont="1" applyFill="1" applyBorder="1" applyAlignment="1"/>
    <xf numFmtId="9" fontId="7" fillId="2" borderId="25" xfId="1" applyFont="1" applyFill="1" applyBorder="1" applyAlignment="1"/>
    <xf numFmtId="9" fontId="7" fillId="2" borderId="15" xfId="1" applyFont="1" applyFill="1" applyBorder="1" applyAlignment="1"/>
    <xf numFmtId="9" fontId="7" fillId="2" borderId="14" xfId="1" applyFont="1" applyFill="1" applyBorder="1" applyAlignment="1"/>
    <xf numFmtId="9" fontId="7" fillId="2" borderId="41" xfId="1" applyFont="1" applyFill="1" applyBorder="1" applyAlignment="1"/>
    <xf numFmtId="9" fontId="7" fillId="2" borderId="40" xfId="1" applyFont="1" applyFill="1" applyBorder="1" applyAlignment="1"/>
    <xf numFmtId="0" fontId="7" fillId="2" borderId="24" xfId="0" applyFont="1" applyFill="1" applyBorder="1"/>
    <xf numFmtId="9" fontId="3" fillId="2" borderId="0" xfId="1" applyFont="1" applyFill="1" applyBorder="1" applyAlignment="1"/>
    <xf numFmtId="0" fontId="7" fillId="2" borderId="0" xfId="0" applyFont="1" applyFill="1" applyAlignment="1"/>
    <xf numFmtId="0" fontId="7" fillId="2" borderId="0" xfId="0" applyFont="1" applyFill="1" applyBorder="1" applyAlignment="1"/>
    <xf numFmtId="0" fontId="7" fillId="2" borderId="0" xfId="0" applyFont="1" applyFill="1" applyBorder="1"/>
    <xf numFmtId="0" fontId="7" fillId="2" borderId="0" xfId="0" applyFont="1" applyFill="1"/>
    <xf numFmtId="0" fontId="7" fillId="2" borderId="5" xfId="0" applyFont="1" applyFill="1" applyBorder="1" applyAlignment="1"/>
    <xf numFmtId="0" fontId="7" fillId="2" borderId="5" xfId="0" applyFont="1" applyFill="1" applyBorder="1"/>
    <xf numFmtId="0" fontId="9" fillId="2" borderId="0" xfId="0" applyFont="1" applyFill="1" applyBorder="1" applyAlignment="1">
      <alignment horizontal="right" wrapText="1"/>
    </xf>
    <xf numFmtId="9" fontId="9" fillId="2" borderId="31" xfId="1" quotePrefix="1" applyFont="1" applyFill="1" applyBorder="1" applyAlignment="1">
      <alignment horizontal="right"/>
    </xf>
    <xf numFmtId="9" fontId="9" fillId="2" borderId="8" xfId="1" quotePrefix="1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 wrapText="1"/>
    </xf>
    <xf numFmtId="0" fontId="9" fillId="2" borderId="8" xfId="0" applyFont="1" applyFill="1" applyBorder="1" applyAlignment="1">
      <alignment horizontal="right" wrapText="1"/>
    </xf>
    <xf numFmtId="1" fontId="7" fillId="2" borderId="42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0" fontId="7" fillId="2" borderId="31" xfId="0" applyFont="1" applyFill="1" applyBorder="1"/>
    <xf numFmtId="0" fontId="3" fillId="2" borderId="8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right" vertical="top"/>
    </xf>
    <xf numFmtId="1" fontId="3" fillId="2" borderId="4" xfId="0" applyNumberFormat="1" applyFont="1" applyFill="1" applyBorder="1" applyAlignment="1">
      <alignment horizontal="right" vertical="top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9" fillId="2" borderId="41" xfId="0" applyFont="1" applyFill="1" applyBorder="1" applyAlignment="1">
      <alignment horizontal="right" wrapText="1"/>
    </xf>
    <xf numFmtId="0" fontId="9" fillId="2" borderId="24" xfId="0" applyFont="1" applyFill="1" applyBorder="1" applyAlignment="1">
      <alignment horizontal="right" wrapText="1"/>
    </xf>
    <xf numFmtId="0" fontId="9" fillId="2" borderId="14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25" xfId="0" applyFont="1" applyFill="1" applyBorder="1" applyAlignment="1">
      <alignment horizontal="right" wrapText="1"/>
    </xf>
    <xf numFmtId="0" fontId="9" fillId="2" borderId="26" xfId="0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3" fillId="0" borderId="1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6" xfId="0" applyFont="1" applyBorder="1" applyAlignment="1">
      <alignment vertical="top" wrapText="1"/>
    </xf>
    <xf numFmtId="0" fontId="4" fillId="0" borderId="13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3" fillId="0" borderId="14" xfId="0" applyFont="1" applyBorder="1" applyAlignment="1">
      <alignment vertical="top"/>
    </xf>
    <xf numFmtId="0" fontId="9" fillId="2" borderId="5" xfId="0" quotePrefix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53"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u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D495-DFBE-4BBF-ACA9-356ED9B14C22}">
  <dimension ref="A1:W411"/>
  <sheetViews>
    <sheetView topLeftCell="A13" zoomScaleNormal="100" workbookViewId="0">
      <selection activeCell="U46" sqref="U46"/>
    </sheetView>
  </sheetViews>
  <sheetFormatPr defaultColWidth="9.140625" defaultRowHeight="12.75" x14ac:dyDescent="0.25"/>
  <cols>
    <col min="1" max="1" width="27.140625" style="143" customWidth="1"/>
    <col min="2" max="2" width="40.7109375" style="139" customWidth="1"/>
    <col min="3" max="3" width="4.140625" style="130" customWidth="1"/>
    <col min="4" max="4" width="4.140625" style="133" customWidth="1"/>
    <col min="5" max="5" width="4.140625" style="166" customWidth="1"/>
    <col min="6" max="8" width="4.140625" style="275" customWidth="1"/>
    <col min="9" max="9" width="4.140625" style="279" customWidth="1"/>
    <col min="10" max="12" width="4.140625" style="275" customWidth="1"/>
    <col min="13" max="13" width="4.28515625" style="279" customWidth="1"/>
    <col min="14" max="15" width="4.140625" style="278" customWidth="1"/>
    <col min="16" max="16" width="4.140625" style="280" customWidth="1"/>
    <col min="17" max="18" width="4.140625" style="278" customWidth="1"/>
    <col min="19" max="23" width="9.140625" style="154"/>
    <col min="24" max="16384" width="9.140625" style="266"/>
  </cols>
  <sheetData>
    <row r="1" spans="1:23" s="240" customFormat="1" ht="11.25" customHeight="1" x14ac:dyDescent="0.25">
      <c r="A1" s="299" t="s">
        <v>234</v>
      </c>
      <c r="B1" s="300"/>
      <c r="C1" s="134" t="s">
        <v>144</v>
      </c>
      <c r="D1" s="146" t="s">
        <v>229</v>
      </c>
      <c r="E1" s="185" t="s">
        <v>227</v>
      </c>
      <c r="F1" s="301" t="s">
        <v>157</v>
      </c>
      <c r="G1" s="302"/>
      <c r="H1" s="302"/>
      <c r="I1" s="303"/>
      <c r="J1" s="237"/>
      <c r="K1" s="238" t="s">
        <v>1</v>
      </c>
      <c r="L1" s="237" t="s">
        <v>140</v>
      </c>
      <c r="M1" s="237"/>
      <c r="N1" s="304" t="s">
        <v>158</v>
      </c>
      <c r="O1" s="305"/>
      <c r="P1" s="306"/>
      <c r="Q1" s="237"/>
      <c r="R1" s="239" t="s">
        <v>163</v>
      </c>
      <c r="S1" s="147"/>
      <c r="T1" s="147"/>
      <c r="U1" s="147"/>
      <c r="V1" s="147"/>
      <c r="W1" s="147"/>
    </row>
    <row r="2" spans="1:23" s="240" customFormat="1" ht="11.25" customHeight="1" x14ac:dyDescent="0.25">
      <c r="A2" s="307" t="s">
        <v>220</v>
      </c>
      <c r="B2" s="308"/>
      <c r="C2" s="125" t="s">
        <v>174</v>
      </c>
      <c r="D2" s="147" t="s">
        <v>174</v>
      </c>
      <c r="E2" s="186" t="s">
        <v>174</v>
      </c>
      <c r="F2" s="241" t="s">
        <v>153</v>
      </c>
      <c r="G2" s="242" t="s">
        <v>154</v>
      </c>
      <c r="H2" s="243"/>
      <c r="I2" s="244"/>
      <c r="J2" s="243"/>
      <c r="K2" s="242" t="s">
        <v>177</v>
      </c>
      <c r="L2" s="243" t="s">
        <v>141</v>
      </c>
      <c r="M2" s="245" t="s">
        <v>2</v>
      </c>
      <c r="N2" s="309" t="s">
        <v>159</v>
      </c>
      <c r="O2" s="311" t="s">
        <v>160</v>
      </c>
      <c r="P2" s="313" t="s">
        <v>161</v>
      </c>
      <c r="Q2" s="243" t="s">
        <v>163</v>
      </c>
      <c r="R2" s="246" t="s">
        <v>164</v>
      </c>
      <c r="S2" s="147"/>
      <c r="T2" s="147"/>
      <c r="U2" s="147"/>
      <c r="V2" s="147"/>
      <c r="W2" s="147"/>
    </row>
    <row r="3" spans="1:23" s="254" customFormat="1" ht="11.25" customHeight="1" x14ac:dyDescent="0.25">
      <c r="A3" s="135"/>
      <c r="B3" s="136"/>
      <c r="C3" s="126" t="s">
        <v>176</v>
      </c>
      <c r="D3" s="148" t="s">
        <v>176</v>
      </c>
      <c r="E3" s="187" t="s">
        <v>176</v>
      </c>
      <c r="F3" s="247" t="s">
        <v>152</v>
      </c>
      <c r="G3" s="248" t="s">
        <v>155</v>
      </c>
      <c r="H3" s="248" t="s">
        <v>3</v>
      </c>
      <c r="I3" s="249" t="s">
        <v>4</v>
      </c>
      <c r="J3" s="248" t="s">
        <v>0</v>
      </c>
      <c r="K3" s="250" t="s">
        <v>178</v>
      </c>
      <c r="L3" s="248" t="s">
        <v>142</v>
      </c>
      <c r="M3" s="251" t="s">
        <v>143</v>
      </c>
      <c r="N3" s="310"/>
      <c r="O3" s="312"/>
      <c r="P3" s="314"/>
      <c r="Q3" s="251" t="s">
        <v>162</v>
      </c>
      <c r="R3" s="252" t="s">
        <v>165</v>
      </c>
      <c r="S3" s="253"/>
      <c r="T3" s="253"/>
      <c r="U3" s="253"/>
      <c r="V3" s="253"/>
      <c r="W3" s="253"/>
    </row>
    <row r="4" spans="1:23" s="260" customFormat="1" ht="11.25" customHeight="1" x14ac:dyDescent="0.25">
      <c r="A4" s="297" t="s">
        <v>170</v>
      </c>
      <c r="B4" s="298"/>
      <c r="C4" s="127">
        <v>635</v>
      </c>
      <c r="D4" s="149">
        <v>2005</v>
      </c>
      <c r="E4" s="188">
        <v>1077</v>
      </c>
      <c r="F4" s="255">
        <v>78</v>
      </c>
      <c r="G4" s="256">
        <v>226</v>
      </c>
      <c r="H4" s="256">
        <v>296</v>
      </c>
      <c r="I4" s="257">
        <v>307</v>
      </c>
      <c r="J4" s="256">
        <v>638</v>
      </c>
      <c r="K4" s="256">
        <v>304</v>
      </c>
      <c r="L4" s="256">
        <v>274</v>
      </c>
      <c r="M4" s="256">
        <v>246</v>
      </c>
      <c r="N4" s="255">
        <v>611</v>
      </c>
      <c r="O4" s="256">
        <v>255</v>
      </c>
      <c r="P4" s="257">
        <v>41</v>
      </c>
      <c r="Q4" s="256">
        <v>278</v>
      </c>
      <c r="R4" s="258">
        <v>445</v>
      </c>
      <c r="S4" s="259"/>
      <c r="T4" s="259"/>
      <c r="U4" s="259"/>
      <c r="V4" s="259"/>
      <c r="W4" s="259"/>
    </row>
    <row r="5" spans="1:23" s="265" customFormat="1" ht="1.5" customHeight="1" x14ac:dyDescent="0.25">
      <c r="A5" s="137"/>
      <c r="B5" s="138"/>
      <c r="C5" s="129"/>
      <c r="D5" s="150"/>
      <c r="E5" s="189"/>
      <c r="F5" s="261"/>
      <c r="G5" s="262"/>
      <c r="H5" s="262"/>
      <c r="I5" s="263"/>
      <c r="J5" s="262"/>
      <c r="K5" s="262"/>
      <c r="L5" s="262"/>
      <c r="M5" s="262"/>
      <c r="N5" s="261"/>
      <c r="O5" s="262"/>
      <c r="P5" s="263"/>
      <c r="Q5" s="262"/>
      <c r="R5" s="264"/>
      <c r="S5" s="154"/>
      <c r="T5" s="154"/>
      <c r="U5" s="154"/>
      <c r="V5" s="154"/>
      <c r="W5" s="154"/>
    </row>
    <row r="6" spans="1:23" ht="11.25" customHeight="1" x14ac:dyDescent="0.25">
      <c r="A6" s="291" t="s">
        <v>257</v>
      </c>
      <c r="B6" s="153" t="s">
        <v>225</v>
      </c>
      <c r="C6" s="130">
        <v>0.56999999999999995</v>
      </c>
      <c r="E6" s="186">
        <f>(1/E$4)*837</f>
        <v>0.77715877437325909</v>
      </c>
      <c r="F6" s="209">
        <f>(1/F$4)*56</f>
        <v>0.71794871794871795</v>
      </c>
      <c r="G6" s="157">
        <f>(1/G$4)*171</f>
        <v>0.75663716814159288</v>
      </c>
      <c r="H6" s="157">
        <f>(1/H$4)*221</f>
        <v>0.74662162162162171</v>
      </c>
      <c r="I6" s="210">
        <f>(1/I$4)*255</f>
        <v>0.83061889250814336</v>
      </c>
      <c r="J6" s="201">
        <f>(1/J$4)*517</f>
        <v>0.81034482758620685</v>
      </c>
      <c r="K6" s="157">
        <f>(1/K$4)*232</f>
        <v>0.76315789473684204</v>
      </c>
      <c r="L6" s="157">
        <f>(1/L$4)*212</f>
        <v>0.77372262773722622</v>
      </c>
      <c r="M6" s="186">
        <f>(1/M$4)*189</f>
        <v>0.7682926829268294</v>
      </c>
      <c r="N6" s="209">
        <f>(1/N$4)*475</f>
        <v>0.77741407528641571</v>
      </c>
      <c r="O6" s="157">
        <f>(1/O$4)*204</f>
        <v>0.8</v>
      </c>
      <c r="P6" s="210">
        <f>(1/P$4)*31</f>
        <v>0.75609756097560976</v>
      </c>
      <c r="Q6" s="201">
        <f>(1/Q$4)*229</f>
        <v>0.8237410071942447</v>
      </c>
      <c r="R6" s="157">
        <f>(1/R$4)*342</f>
        <v>0.76853932584269669</v>
      </c>
    </row>
    <row r="7" spans="1:23" ht="11.25" customHeight="1" x14ac:dyDescent="0.25">
      <c r="A7" s="290"/>
      <c r="B7" s="144" t="s">
        <v>240</v>
      </c>
      <c r="C7" s="130">
        <v>0.1</v>
      </c>
      <c r="D7" s="151"/>
      <c r="E7" s="186">
        <f>(1/E$4)*73</f>
        <v>6.778087279480037E-2</v>
      </c>
      <c r="F7" s="209">
        <f>(1/F$4)*8</f>
        <v>0.10256410256410256</v>
      </c>
      <c r="G7" s="157">
        <f>(1/G$4)*12</f>
        <v>5.3097345132743362E-2</v>
      </c>
      <c r="H7" s="157">
        <f>(1/H$4)*15</f>
        <v>5.0675675675675678E-2</v>
      </c>
      <c r="I7" s="210">
        <f>(1/I$4)*21</f>
        <v>6.8403908794788276E-2</v>
      </c>
      <c r="J7" s="201">
        <f>(1/J$4)*39</f>
        <v>6.1128526645768025E-2</v>
      </c>
      <c r="K7" s="157">
        <f>(1/K$4)*23</f>
        <v>7.5657894736842105E-2</v>
      </c>
      <c r="L7" s="157">
        <f>(1/L$4)*17</f>
        <v>6.2043795620437957E-2</v>
      </c>
      <c r="M7" s="186">
        <v>0.18</v>
      </c>
      <c r="N7" s="209">
        <f>(1/N$4)*44</f>
        <v>7.2013093289689037E-2</v>
      </c>
      <c r="O7" s="157">
        <f>(1/O$4)*13</f>
        <v>5.0980392156862744E-2</v>
      </c>
      <c r="P7" s="210">
        <f>(1/P$4)*1</f>
        <v>2.4390243902439025E-2</v>
      </c>
      <c r="Q7" s="201">
        <f>(1/Q$4)*22</f>
        <v>7.9136690647482022E-2</v>
      </c>
      <c r="R7" s="157">
        <f>(1/R$4)*25</f>
        <v>5.6179775280898882E-2</v>
      </c>
    </row>
    <row r="8" spans="1:23" ht="11.25" customHeight="1" x14ac:dyDescent="0.25">
      <c r="A8" s="290"/>
      <c r="B8" s="144" t="s">
        <v>241</v>
      </c>
      <c r="C8" s="130">
        <v>0.25</v>
      </c>
      <c r="E8" s="186">
        <f>(1/E$4)*452</f>
        <v>0.41968430826369546</v>
      </c>
      <c r="F8" s="209">
        <f>(1/F$4)*29</f>
        <v>0.37179487179487181</v>
      </c>
      <c r="G8" s="157">
        <f>(1/G$4)*90</f>
        <v>0.39823008849557523</v>
      </c>
      <c r="H8" s="157">
        <f>(1/H$4)*123</f>
        <v>0.41554054054054057</v>
      </c>
      <c r="I8" s="210">
        <f>(1/I$4)*142</f>
        <v>0.46254071661237789</v>
      </c>
      <c r="J8" s="201">
        <f>(1/J$4)*300</f>
        <v>0.47021943573667707</v>
      </c>
      <c r="K8" s="157">
        <f>(1/K$4)*124</f>
        <v>0.40789473684210525</v>
      </c>
      <c r="L8" s="157">
        <f>(1/L$4)*113</f>
        <v>0.41240875912408759</v>
      </c>
      <c r="M8" s="186">
        <f>(1/M$4)*100</f>
        <v>0.40650406504065045</v>
      </c>
      <c r="N8" s="209">
        <f>(1/N$4)*267</f>
        <v>0.4369885433715221</v>
      </c>
      <c r="O8" s="157">
        <f>(1/O$4)*108</f>
        <v>0.42352941176470588</v>
      </c>
      <c r="P8" s="210">
        <f>(1/P$4)*16</f>
        <v>0.3902439024390244</v>
      </c>
      <c r="Q8" s="201">
        <f>(1/Q$4)*110</f>
        <v>0.39568345323741011</v>
      </c>
      <c r="R8" s="157">
        <f>(1/R$4)*198</f>
        <v>0.44494382022471912</v>
      </c>
    </row>
    <row r="9" spans="1:23" ht="11.25" customHeight="1" x14ac:dyDescent="0.25">
      <c r="A9" s="290"/>
      <c r="B9" s="144" t="s">
        <v>242</v>
      </c>
      <c r="C9" s="130">
        <v>0.35</v>
      </c>
      <c r="E9" s="186">
        <f>(1/E$4)*381</f>
        <v>0.35376044568245124</v>
      </c>
      <c r="F9" s="209">
        <f>(1/F$4)*26</f>
        <v>0.33333333333333331</v>
      </c>
      <c r="G9" s="157">
        <f>(1/G$4)*79</f>
        <v>0.34955752212389379</v>
      </c>
      <c r="H9" s="157">
        <f>(1/H$4)*103</f>
        <v>0.34797297297297297</v>
      </c>
      <c r="I9" s="210">
        <f>(1/I$4)*119</f>
        <v>0.38762214983713356</v>
      </c>
      <c r="J9" s="201">
        <f>(1/J$4)*239</f>
        <v>0.37460815047021945</v>
      </c>
      <c r="K9" s="157">
        <f>(1/K$4)*115</f>
        <v>0.37828947368421051</v>
      </c>
      <c r="L9" s="157">
        <f>(1/L$4)*96</f>
        <v>0.35036496350364965</v>
      </c>
      <c r="M9" s="186">
        <f>(1/M$4)*104</f>
        <v>0.42276422764227645</v>
      </c>
      <c r="N9" s="209">
        <f>(1/N$4)*222</f>
        <v>0.36333878887070375</v>
      </c>
      <c r="O9" s="157">
        <f>(1/O$4)*95</f>
        <v>0.37254901960784315</v>
      </c>
      <c r="P9" s="210">
        <f>(1/P$4)*14</f>
        <v>0.34146341463414637</v>
      </c>
      <c r="Q9" s="201">
        <f>(1/Q$4)*94</f>
        <v>0.33812949640287771</v>
      </c>
      <c r="R9" s="157">
        <f>(1/R$4)*179</f>
        <v>0.40224719101123602</v>
      </c>
    </row>
    <row r="10" spans="1:23" ht="11.25" customHeight="1" x14ac:dyDescent="0.25">
      <c r="A10" s="290"/>
      <c r="B10" s="144" t="s">
        <v>243</v>
      </c>
      <c r="C10" s="130">
        <v>0.14000000000000001</v>
      </c>
      <c r="E10" s="186">
        <f>(1/E$4)*91</f>
        <v>8.4493964716805939E-2</v>
      </c>
      <c r="F10" s="209">
        <f>(1/F$4)*2</f>
        <v>2.564102564102564E-2</v>
      </c>
      <c r="G10" s="157">
        <f>(1/G$4)*15</f>
        <v>6.6371681415929196E-2</v>
      </c>
      <c r="H10" s="157">
        <f>(1/H$4)*21</f>
        <v>7.0945945945945943E-2</v>
      </c>
      <c r="I10" s="210">
        <f>(1/I$4)*38</f>
        <v>0.12377850162866449</v>
      </c>
      <c r="J10" s="201">
        <f>(1/J$4)*49</f>
        <v>7.6802507836990594E-2</v>
      </c>
      <c r="K10" s="157">
        <f>(1/K$4)*43</f>
        <v>0.14144736842105263</v>
      </c>
      <c r="L10" s="157">
        <f>(1/L$4)*40</f>
        <v>0.145985401459854</v>
      </c>
      <c r="M10" s="186">
        <f>(1/M$4)*38</f>
        <v>0.15447154471544716</v>
      </c>
      <c r="N10" s="209">
        <f>(1/N$4)*41</f>
        <v>6.7103109656301146E-2</v>
      </c>
      <c r="O10" s="157">
        <f>(1/O$4)*31</f>
        <v>0.12156862745098039</v>
      </c>
      <c r="P10" s="210">
        <f>(1/P$4)*7</f>
        <v>0.17073170731707318</v>
      </c>
      <c r="Q10" s="201">
        <f>(1/Q$4)*21</f>
        <v>7.5539568345323743E-2</v>
      </c>
      <c r="R10" s="157">
        <f>(1/R$4)*35</f>
        <v>7.8651685393258439E-2</v>
      </c>
    </row>
    <row r="11" spans="1:23" ht="11.25" customHeight="1" x14ac:dyDescent="0.25">
      <c r="A11" s="290"/>
      <c r="B11" s="144" t="s">
        <v>244</v>
      </c>
      <c r="C11" s="130">
        <v>0.15</v>
      </c>
      <c r="E11" s="186">
        <f>(1/E$4)*333</f>
        <v>0.30919220055710306</v>
      </c>
      <c r="F11" s="209">
        <f>(1/F$4)*18</f>
        <v>0.23076923076923075</v>
      </c>
      <c r="G11" s="157">
        <f>(1/G$4)*83</f>
        <v>0.36725663716814161</v>
      </c>
      <c r="H11" s="157">
        <f>(1/H$4)*84</f>
        <v>0.28378378378378377</v>
      </c>
      <c r="I11" s="210">
        <f>(1/I$4)*99</f>
        <v>0.32247557003257332</v>
      </c>
      <c r="J11" s="201">
        <f>(1/J$4)*230</f>
        <v>0.36050156739811912</v>
      </c>
      <c r="K11" s="157">
        <f>(1/K$4)*78</f>
        <v>0.25657894736842102</v>
      </c>
      <c r="L11" s="157">
        <f>(1/L$4)*91</f>
        <v>0.33211678832116787</v>
      </c>
      <c r="M11" s="186">
        <f>(1/M$4)*73</f>
        <v>0.2967479674796748</v>
      </c>
      <c r="N11" s="209">
        <f>(1/N$4)*165</f>
        <v>0.27004909983633391</v>
      </c>
      <c r="O11" s="157">
        <f>(1/O$4)*102</f>
        <v>0.4</v>
      </c>
      <c r="P11" s="210">
        <f>(1/P$4)*20</f>
        <v>0.48780487804878048</v>
      </c>
      <c r="Q11" s="201">
        <f>(1/Q$4)*105</f>
        <v>0.37769784172661874</v>
      </c>
      <c r="R11" s="157">
        <f>(1/R$4)*127</f>
        <v>0.28539325842696633</v>
      </c>
    </row>
    <row r="12" spans="1:23" ht="11.25" customHeight="1" x14ac:dyDescent="0.25">
      <c r="A12" s="290"/>
      <c r="B12" s="144" t="s">
        <v>245</v>
      </c>
      <c r="C12" s="130">
        <v>0.08</v>
      </c>
      <c r="E12" s="186">
        <f>(1/E$4)*107</f>
        <v>9.9350046425255342E-2</v>
      </c>
      <c r="F12" s="209">
        <f>(1/F$4)*8</f>
        <v>0.10256410256410256</v>
      </c>
      <c r="G12" s="157">
        <f>(1/G$4)*19</f>
        <v>8.4070796460176983E-2</v>
      </c>
      <c r="H12" s="157">
        <f>(1/H$4)*28</f>
        <v>9.45945945945946E-2</v>
      </c>
      <c r="I12" s="210">
        <f>(1/I$4)*33</f>
        <v>0.10749185667752444</v>
      </c>
      <c r="J12" s="201">
        <f>(1/J$4)*70</f>
        <v>0.10971786833855798</v>
      </c>
      <c r="K12" s="157">
        <f>(1/K$4)*14</f>
        <v>4.6052631578947366E-2</v>
      </c>
      <c r="L12" s="157">
        <f>(1/L$4)*18</f>
        <v>6.569343065693431E-2</v>
      </c>
      <c r="M12" s="186">
        <f>(1/M$4)*9</f>
        <v>3.6585365853658541E-2</v>
      </c>
      <c r="N12" s="209">
        <f>(1/N$4)*66</f>
        <v>0.10801963993453356</v>
      </c>
      <c r="O12" s="157">
        <f>(1/O$4)*20</f>
        <v>7.8431372549019607E-2</v>
      </c>
      <c r="P12" s="210">
        <f>(1/P$4)*3</f>
        <v>7.3170731707317083E-2</v>
      </c>
      <c r="Q12" s="201">
        <f>(1/Q$4)*28</f>
        <v>0.10071942446043167</v>
      </c>
      <c r="R12" s="157">
        <f>(1/R$4)*39</f>
        <v>8.7640449438202261E-2</v>
      </c>
    </row>
    <row r="13" spans="1:23" s="179" customFormat="1" ht="11.25" customHeight="1" thickBot="1" x14ac:dyDescent="0.3">
      <c r="A13" s="292"/>
      <c r="B13" s="171" t="s">
        <v>226</v>
      </c>
      <c r="C13" s="172">
        <f>1-C6</f>
        <v>0.43000000000000005</v>
      </c>
      <c r="D13" s="173"/>
      <c r="E13" s="190">
        <f>1-E6</f>
        <v>0.22284122562674091</v>
      </c>
      <c r="F13" s="211">
        <f>1-F6</f>
        <v>0.28205128205128205</v>
      </c>
      <c r="G13" s="174">
        <f t="shared" ref="G13:R13" si="0">1-G6</f>
        <v>0.24336283185840712</v>
      </c>
      <c r="H13" s="174">
        <f t="shared" si="0"/>
        <v>0.25337837837837829</v>
      </c>
      <c r="I13" s="212">
        <f t="shared" si="0"/>
        <v>0.16938110749185664</v>
      </c>
      <c r="J13" s="202">
        <f t="shared" si="0"/>
        <v>0.18965517241379315</v>
      </c>
      <c r="K13" s="174">
        <f t="shared" si="0"/>
        <v>0.23684210526315796</v>
      </c>
      <c r="L13" s="174">
        <f t="shared" si="0"/>
        <v>0.22627737226277378</v>
      </c>
      <c r="M13" s="190">
        <f t="shared" si="0"/>
        <v>0.2317073170731706</v>
      </c>
      <c r="N13" s="211">
        <f t="shared" si="0"/>
        <v>0.22258592471358429</v>
      </c>
      <c r="O13" s="174">
        <f t="shared" si="0"/>
        <v>0.19999999999999996</v>
      </c>
      <c r="P13" s="212">
        <f t="shared" si="0"/>
        <v>0.24390243902439024</v>
      </c>
      <c r="Q13" s="202">
        <f t="shared" si="0"/>
        <v>0.1762589928057553</v>
      </c>
      <c r="R13" s="174">
        <f t="shared" si="0"/>
        <v>0.23146067415730331</v>
      </c>
      <c r="S13" s="154"/>
      <c r="T13" s="154"/>
      <c r="U13" s="154"/>
      <c r="V13" s="154"/>
      <c r="W13" s="154"/>
    </row>
    <row r="14" spans="1:23" ht="11.25" customHeight="1" thickTop="1" x14ac:dyDescent="0.25">
      <c r="A14" s="293" t="s">
        <v>259</v>
      </c>
      <c r="B14" s="168" t="s">
        <v>226</v>
      </c>
      <c r="C14" s="130">
        <v>0.62</v>
      </c>
      <c r="E14" s="191">
        <v>0.46</v>
      </c>
      <c r="F14" s="267">
        <v>0.44</v>
      </c>
      <c r="G14" s="167">
        <v>0.46</v>
      </c>
      <c r="H14" s="167">
        <v>0.48</v>
      </c>
      <c r="I14" s="268">
        <v>0.42</v>
      </c>
      <c r="J14" s="269">
        <v>0.38</v>
      </c>
      <c r="K14" s="269">
        <v>0.51</v>
      </c>
      <c r="L14" s="167">
        <v>0.5</v>
      </c>
      <c r="M14" s="270">
        <v>0.49</v>
      </c>
      <c r="N14" s="271">
        <v>0.46</v>
      </c>
      <c r="O14" s="167">
        <v>0.4</v>
      </c>
      <c r="P14" s="268">
        <v>0.41</v>
      </c>
      <c r="Q14" s="272">
        <v>0.45</v>
      </c>
      <c r="R14" s="269">
        <v>0.45</v>
      </c>
    </row>
    <row r="15" spans="1:23" s="179" customFormat="1" ht="11.25" customHeight="1" thickBot="1" x14ac:dyDescent="0.3">
      <c r="A15" s="290"/>
      <c r="B15" s="182" t="s">
        <v>225</v>
      </c>
      <c r="C15" s="183">
        <v>0.38</v>
      </c>
      <c r="D15" s="184"/>
      <c r="E15" s="192">
        <f>1-E14</f>
        <v>0.54</v>
      </c>
      <c r="F15" s="213">
        <f t="shared" ref="F15:R15" si="1">1-F14</f>
        <v>0.56000000000000005</v>
      </c>
      <c r="G15" s="175">
        <f t="shared" si="1"/>
        <v>0.54</v>
      </c>
      <c r="H15" s="175">
        <f t="shared" si="1"/>
        <v>0.52</v>
      </c>
      <c r="I15" s="214">
        <f t="shared" si="1"/>
        <v>0.58000000000000007</v>
      </c>
      <c r="J15" s="180">
        <f t="shared" si="1"/>
        <v>0.62</v>
      </c>
      <c r="K15" s="175">
        <f t="shared" si="1"/>
        <v>0.49</v>
      </c>
      <c r="L15" s="175">
        <f t="shared" si="1"/>
        <v>0.5</v>
      </c>
      <c r="M15" s="192">
        <f t="shared" si="1"/>
        <v>0.51</v>
      </c>
      <c r="N15" s="213">
        <f t="shared" si="1"/>
        <v>0.54</v>
      </c>
      <c r="O15" s="175">
        <f t="shared" si="1"/>
        <v>0.6</v>
      </c>
      <c r="P15" s="214">
        <f t="shared" si="1"/>
        <v>0.59000000000000008</v>
      </c>
      <c r="Q15" s="180">
        <f t="shared" si="1"/>
        <v>0.55000000000000004</v>
      </c>
      <c r="R15" s="175">
        <f t="shared" si="1"/>
        <v>0.55000000000000004</v>
      </c>
      <c r="S15" s="154"/>
      <c r="T15" s="154"/>
      <c r="U15" s="154"/>
      <c r="V15" s="154"/>
      <c r="W15" s="154"/>
    </row>
    <row r="16" spans="1:23" s="154" customFormat="1" ht="11.25" customHeight="1" thickTop="1" x14ac:dyDescent="0.25">
      <c r="A16" s="293" t="s">
        <v>230</v>
      </c>
      <c r="B16" s="139" t="s">
        <v>10</v>
      </c>
      <c r="C16" s="128">
        <v>0.46</v>
      </c>
      <c r="D16" s="133">
        <v>0.5</v>
      </c>
      <c r="E16" s="193">
        <v>0.49</v>
      </c>
      <c r="F16" s="215">
        <v>0.42</v>
      </c>
      <c r="G16" s="158">
        <v>0.48</v>
      </c>
      <c r="H16" s="158">
        <v>0.56000000000000005</v>
      </c>
      <c r="I16" s="216">
        <v>0.45</v>
      </c>
      <c r="J16" s="162">
        <v>0.46</v>
      </c>
      <c r="K16" s="158">
        <v>0.56000000000000005</v>
      </c>
      <c r="L16" s="158">
        <v>0.48</v>
      </c>
      <c r="M16" s="193">
        <v>0.5</v>
      </c>
      <c r="N16" s="215">
        <v>0.52</v>
      </c>
      <c r="O16" s="158">
        <v>0.46</v>
      </c>
      <c r="P16" s="216">
        <v>0.28999999999999998</v>
      </c>
      <c r="Q16" s="162">
        <v>0.38</v>
      </c>
      <c r="R16" s="158">
        <v>0.59</v>
      </c>
    </row>
    <row r="17" spans="1:23" s="154" customFormat="1" ht="11.25" customHeight="1" x14ac:dyDescent="0.25">
      <c r="A17" s="290"/>
      <c r="B17" s="140" t="s">
        <v>228</v>
      </c>
      <c r="C17" s="128">
        <v>0.27</v>
      </c>
      <c r="D17" s="133">
        <v>0.28999999999999998</v>
      </c>
      <c r="E17" s="193">
        <v>0.3</v>
      </c>
      <c r="F17" s="215">
        <v>0.35</v>
      </c>
      <c r="G17" s="158">
        <v>0.35</v>
      </c>
      <c r="H17" s="158">
        <v>0.23</v>
      </c>
      <c r="I17" s="216">
        <v>0.31</v>
      </c>
      <c r="J17" s="162">
        <v>0.35</v>
      </c>
      <c r="K17" s="158">
        <v>0.21</v>
      </c>
      <c r="L17" s="158">
        <v>0.25</v>
      </c>
      <c r="M17" s="193">
        <v>0.25</v>
      </c>
      <c r="N17" s="215">
        <v>0.28999999999999998</v>
      </c>
      <c r="O17" s="158">
        <v>0.28000000000000003</v>
      </c>
      <c r="P17" s="216">
        <v>0.39</v>
      </c>
      <c r="Q17" s="162">
        <v>0.43</v>
      </c>
      <c r="R17" s="158">
        <v>0.21</v>
      </c>
    </row>
    <row r="18" spans="1:23" s="154" customFormat="1" ht="11.25" customHeight="1" x14ac:dyDescent="0.25">
      <c r="A18" s="290"/>
      <c r="B18" s="139" t="s">
        <v>150</v>
      </c>
      <c r="C18" s="128"/>
      <c r="D18" s="133">
        <v>0.18</v>
      </c>
      <c r="E18" s="193">
        <v>0.17</v>
      </c>
      <c r="F18" s="215">
        <v>0.23</v>
      </c>
      <c r="G18" s="158">
        <v>0.19</v>
      </c>
      <c r="H18" s="158">
        <v>0.13</v>
      </c>
      <c r="I18" s="216">
        <v>0.17</v>
      </c>
      <c r="J18" s="162">
        <v>0.19</v>
      </c>
      <c r="K18" s="158">
        <v>0.12</v>
      </c>
      <c r="L18" s="158">
        <v>0.15</v>
      </c>
      <c r="M18" s="193">
        <v>0.15</v>
      </c>
      <c r="N18" s="215">
        <v>0.17</v>
      </c>
      <c r="O18" s="158">
        <v>0.15</v>
      </c>
      <c r="P18" s="216">
        <v>0.24</v>
      </c>
      <c r="Q18" s="162">
        <v>0.26</v>
      </c>
      <c r="R18" s="158">
        <v>0.11</v>
      </c>
    </row>
    <row r="19" spans="1:23" s="154" customFormat="1" ht="11.25" customHeight="1" x14ac:dyDescent="0.25">
      <c r="A19" s="290"/>
      <c r="B19" s="139" t="s">
        <v>151</v>
      </c>
      <c r="C19" s="128"/>
      <c r="D19" s="133">
        <v>0.19</v>
      </c>
      <c r="E19" s="193">
        <v>0.21</v>
      </c>
      <c r="F19" s="215">
        <v>0.18</v>
      </c>
      <c r="G19" s="158">
        <v>0.23</v>
      </c>
      <c r="H19" s="158">
        <v>0.15</v>
      </c>
      <c r="I19" s="216">
        <v>0.22</v>
      </c>
      <c r="J19" s="162">
        <v>0.24</v>
      </c>
      <c r="K19" s="158">
        <v>0.14000000000000001</v>
      </c>
      <c r="L19" s="158">
        <v>0.17</v>
      </c>
      <c r="M19" s="193">
        <v>0.16</v>
      </c>
      <c r="N19" s="215">
        <v>0.18</v>
      </c>
      <c r="O19" s="158">
        <v>0.21</v>
      </c>
      <c r="P19" s="216">
        <v>0.39</v>
      </c>
      <c r="Q19" s="162">
        <v>0.27</v>
      </c>
      <c r="R19" s="158">
        <v>0.15</v>
      </c>
    </row>
    <row r="20" spans="1:23" s="179" customFormat="1" ht="11.25" customHeight="1" thickBot="1" x14ac:dyDescent="0.3">
      <c r="A20" s="292"/>
      <c r="B20" s="176" t="s">
        <v>12</v>
      </c>
      <c r="C20" s="177">
        <v>0.26</v>
      </c>
      <c r="D20" s="173">
        <v>0.23</v>
      </c>
      <c r="E20" s="192">
        <v>0.27</v>
      </c>
      <c r="F20" s="213">
        <v>0.28999999999999998</v>
      </c>
      <c r="G20" s="175">
        <v>0.24</v>
      </c>
      <c r="H20" s="175">
        <v>0.25</v>
      </c>
      <c r="I20" s="214">
        <v>0.31</v>
      </c>
      <c r="J20" s="180">
        <v>0.27</v>
      </c>
      <c r="K20" s="175">
        <v>0.26</v>
      </c>
      <c r="L20" s="175">
        <v>0.31</v>
      </c>
      <c r="M20" s="192">
        <v>0.31</v>
      </c>
      <c r="N20" s="213">
        <v>0.24</v>
      </c>
      <c r="O20" s="175">
        <v>0.35</v>
      </c>
      <c r="P20" s="214">
        <v>0.24</v>
      </c>
      <c r="Q20" s="180">
        <v>0.27</v>
      </c>
      <c r="R20" s="175">
        <v>0.25</v>
      </c>
      <c r="S20" s="154"/>
      <c r="T20" s="154"/>
      <c r="U20" s="154"/>
      <c r="V20" s="154"/>
      <c r="W20" s="154"/>
    </row>
    <row r="21" spans="1:23" ht="11.25" customHeight="1" thickTop="1" x14ac:dyDescent="0.25">
      <c r="A21" s="293" t="s">
        <v>231</v>
      </c>
      <c r="B21" s="141" t="s">
        <v>18</v>
      </c>
      <c r="C21" s="128"/>
      <c r="D21" s="133">
        <v>0.68359999999999999</v>
      </c>
      <c r="E21" s="194">
        <v>0.74</v>
      </c>
      <c r="F21" s="217">
        <v>0.54</v>
      </c>
      <c r="G21" s="159">
        <v>0.74</v>
      </c>
      <c r="H21" s="159">
        <v>0.83</v>
      </c>
      <c r="I21" s="218">
        <v>0.71</v>
      </c>
      <c r="J21" s="203">
        <v>0.71</v>
      </c>
      <c r="K21" s="159">
        <v>0.81</v>
      </c>
      <c r="L21" s="159">
        <v>0.76</v>
      </c>
      <c r="M21" s="194">
        <v>0.79</v>
      </c>
      <c r="N21" s="217">
        <v>0.73</v>
      </c>
      <c r="O21" s="159">
        <v>0.77</v>
      </c>
      <c r="P21" s="218">
        <v>0.63</v>
      </c>
      <c r="Q21" s="203">
        <v>0.61</v>
      </c>
      <c r="R21" s="159">
        <v>0.81</v>
      </c>
    </row>
    <row r="22" spans="1:23" ht="11.25" customHeight="1" x14ac:dyDescent="0.25">
      <c r="A22" s="290"/>
      <c r="B22" s="141" t="s">
        <v>19</v>
      </c>
      <c r="C22" s="128"/>
      <c r="D22" s="133">
        <v>7.0000000000000007E-2</v>
      </c>
      <c r="E22" s="186">
        <v>0.1</v>
      </c>
      <c r="F22" s="209">
        <v>0.06</v>
      </c>
      <c r="G22" s="157">
        <v>0.13</v>
      </c>
      <c r="H22" s="157">
        <v>0.09</v>
      </c>
      <c r="I22" s="210">
        <v>0.09</v>
      </c>
      <c r="J22" s="201">
        <v>0.11</v>
      </c>
      <c r="K22" s="157">
        <v>0.06</v>
      </c>
      <c r="L22" s="157">
        <v>7.0000000000000007E-2</v>
      </c>
      <c r="M22" s="186">
        <v>7.0000000000000007E-2</v>
      </c>
      <c r="N22" s="209">
        <v>0.1</v>
      </c>
      <c r="O22" s="157">
        <v>0.09</v>
      </c>
      <c r="P22" s="210">
        <v>0.12</v>
      </c>
      <c r="Q22" s="201">
        <v>0.15</v>
      </c>
      <c r="R22" s="157">
        <v>0.08</v>
      </c>
    </row>
    <row r="23" spans="1:23" s="179" customFormat="1" ht="11.25" customHeight="1" thickBot="1" x14ac:dyDescent="0.3">
      <c r="A23" s="292"/>
      <c r="B23" s="176" t="s">
        <v>20</v>
      </c>
      <c r="C23" s="172"/>
      <c r="D23" s="173">
        <v>0.25</v>
      </c>
      <c r="E23" s="190">
        <v>0.17</v>
      </c>
      <c r="F23" s="211">
        <v>0.4</v>
      </c>
      <c r="G23" s="174">
        <v>0.15</v>
      </c>
      <c r="H23" s="174">
        <v>0.09</v>
      </c>
      <c r="I23" s="212">
        <v>0.21</v>
      </c>
      <c r="J23" s="202">
        <v>0.19</v>
      </c>
      <c r="K23" s="174">
        <v>0.13</v>
      </c>
      <c r="L23" s="174">
        <v>0.17</v>
      </c>
      <c r="M23" s="190">
        <v>0.14000000000000001</v>
      </c>
      <c r="N23" s="211">
        <v>0.17</v>
      </c>
      <c r="O23" s="174">
        <v>0.15</v>
      </c>
      <c r="P23" s="212">
        <v>0.24</v>
      </c>
      <c r="Q23" s="202">
        <v>0.24</v>
      </c>
      <c r="R23" s="174">
        <v>0.11</v>
      </c>
      <c r="S23" s="154"/>
      <c r="T23" s="154"/>
      <c r="U23" s="154"/>
      <c r="V23" s="154"/>
      <c r="W23" s="154"/>
    </row>
    <row r="24" spans="1:23" ht="11.25" customHeight="1" thickTop="1" x14ac:dyDescent="0.25">
      <c r="A24" s="293" t="s">
        <v>232</v>
      </c>
      <c r="B24" s="139" t="s">
        <v>239</v>
      </c>
      <c r="E24" s="194"/>
      <c r="F24" s="217"/>
      <c r="G24" s="159"/>
      <c r="H24" s="159"/>
      <c r="I24" s="218"/>
      <c r="J24" s="203"/>
      <c r="K24" s="159"/>
      <c r="L24" s="159"/>
      <c r="M24" s="194"/>
      <c r="N24" s="217"/>
      <c r="O24" s="159"/>
      <c r="P24" s="218"/>
      <c r="Q24" s="203"/>
      <c r="R24" s="159"/>
    </row>
    <row r="25" spans="1:23" ht="11.25" customHeight="1" x14ac:dyDescent="0.25">
      <c r="A25" s="290"/>
      <c r="B25" s="139" t="s">
        <v>22</v>
      </c>
      <c r="C25" s="130">
        <v>0.38</v>
      </c>
      <c r="D25" s="133">
        <v>0.56000000000000005</v>
      </c>
      <c r="E25" s="194">
        <v>0.46</v>
      </c>
      <c r="F25" s="217">
        <v>0.43</v>
      </c>
      <c r="G25" s="159">
        <v>0.47</v>
      </c>
      <c r="H25" s="159">
        <v>0.46</v>
      </c>
      <c r="I25" s="218">
        <v>0.42</v>
      </c>
      <c r="J25" s="203">
        <v>0.44</v>
      </c>
      <c r="K25" s="159">
        <v>0.51</v>
      </c>
      <c r="L25" s="159">
        <v>0.45</v>
      </c>
      <c r="M25" s="194">
        <v>0.37</v>
      </c>
      <c r="N25" s="217">
        <v>0.44</v>
      </c>
      <c r="O25" s="159">
        <v>0.49</v>
      </c>
      <c r="P25" s="218">
        <v>0.3</v>
      </c>
      <c r="Q25" s="203">
        <v>0.43</v>
      </c>
      <c r="R25" s="159">
        <v>0.49</v>
      </c>
    </row>
    <row r="26" spans="1:23" ht="11.25" customHeight="1" x14ac:dyDescent="0.25">
      <c r="A26" s="290"/>
      <c r="B26" s="140" t="s">
        <v>138</v>
      </c>
      <c r="C26" s="126">
        <f>1-C25</f>
        <v>0.62</v>
      </c>
      <c r="D26" s="126">
        <v>0.44</v>
      </c>
      <c r="E26" s="187">
        <f t="shared" ref="E26" si="2">1-E25</f>
        <v>0.54</v>
      </c>
      <c r="F26" s="219">
        <f t="shared" ref="F26" si="3">1-F25</f>
        <v>0.57000000000000006</v>
      </c>
      <c r="G26" s="160">
        <f t="shared" ref="G26" si="4">1-G25</f>
        <v>0.53</v>
      </c>
      <c r="H26" s="160">
        <f t="shared" ref="H26" si="5">1-H25</f>
        <v>0.54</v>
      </c>
      <c r="I26" s="220">
        <f t="shared" ref="I26" si="6">1-I25</f>
        <v>0.58000000000000007</v>
      </c>
      <c r="J26" s="204">
        <f t="shared" ref="J26" si="7">1-J25</f>
        <v>0.56000000000000005</v>
      </c>
      <c r="K26" s="160">
        <f t="shared" ref="K26" si="8">1-K25</f>
        <v>0.49</v>
      </c>
      <c r="L26" s="160">
        <f t="shared" ref="L26" si="9">1-L25</f>
        <v>0.55000000000000004</v>
      </c>
      <c r="M26" s="187">
        <f t="shared" ref="M26" si="10">1-M25</f>
        <v>0.63</v>
      </c>
      <c r="N26" s="219">
        <f>1-N25</f>
        <v>0.56000000000000005</v>
      </c>
      <c r="O26" s="160">
        <f t="shared" ref="O26:Q26" si="11">1-O25</f>
        <v>0.51</v>
      </c>
      <c r="P26" s="220">
        <f t="shared" si="11"/>
        <v>0.7</v>
      </c>
      <c r="Q26" s="204">
        <f t="shared" si="11"/>
        <v>0.57000000000000006</v>
      </c>
      <c r="R26" s="160">
        <f t="shared" ref="R26" si="12">1-R25</f>
        <v>0.51</v>
      </c>
    </row>
    <row r="27" spans="1:23" ht="11.25" customHeight="1" x14ac:dyDescent="0.25">
      <c r="A27" s="290"/>
      <c r="B27" s="139" t="s">
        <v>23</v>
      </c>
      <c r="D27" s="133">
        <v>0.36</v>
      </c>
      <c r="E27" s="194">
        <v>0.34</v>
      </c>
      <c r="F27" s="217">
        <v>0.3</v>
      </c>
      <c r="G27" s="159">
        <v>0.22</v>
      </c>
      <c r="H27" s="159">
        <v>0.27</v>
      </c>
      <c r="I27" s="218">
        <v>0.45</v>
      </c>
      <c r="J27" s="203">
        <v>0.32</v>
      </c>
      <c r="K27" s="159">
        <v>0.24</v>
      </c>
      <c r="L27" s="159">
        <v>0.37</v>
      </c>
      <c r="M27" s="194">
        <v>0.43</v>
      </c>
      <c r="N27" s="217">
        <v>0.34</v>
      </c>
      <c r="O27" s="159">
        <v>0.35</v>
      </c>
      <c r="P27" s="218">
        <v>0.3</v>
      </c>
      <c r="Q27" s="203">
        <v>0.33</v>
      </c>
      <c r="R27" s="159">
        <v>0.32</v>
      </c>
    </row>
    <row r="28" spans="1:23" ht="11.25" customHeight="1" x14ac:dyDescent="0.25">
      <c r="A28" s="290"/>
      <c r="B28" s="139" t="s">
        <v>24</v>
      </c>
      <c r="D28" s="133">
        <v>0.35</v>
      </c>
      <c r="E28" s="194">
        <v>0.37</v>
      </c>
      <c r="F28" s="217">
        <v>0.37</v>
      </c>
      <c r="G28" s="159">
        <v>0.41</v>
      </c>
      <c r="H28" s="159">
        <v>0.38</v>
      </c>
      <c r="I28" s="218">
        <v>0.42</v>
      </c>
      <c r="J28" s="203">
        <v>0.4</v>
      </c>
      <c r="K28" s="159">
        <v>0.27</v>
      </c>
      <c r="L28" s="159">
        <v>0.39</v>
      </c>
      <c r="M28" s="194">
        <v>0.46</v>
      </c>
      <c r="N28" s="217">
        <v>0.34</v>
      </c>
      <c r="O28" s="159">
        <v>0.49</v>
      </c>
      <c r="P28" s="218">
        <v>0.5</v>
      </c>
      <c r="Q28" s="203">
        <v>0.45</v>
      </c>
      <c r="R28" s="159">
        <v>0.25</v>
      </c>
    </row>
    <row r="29" spans="1:23" s="179" customFormat="1" ht="11.25" customHeight="1" thickBot="1" x14ac:dyDescent="0.3">
      <c r="A29" s="292"/>
      <c r="B29" s="176" t="s">
        <v>139</v>
      </c>
      <c r="C29" s="172"/>
      <c r="D29" s="173">
        <v>0.15</v>
      </c>
      <c r="E29" s="195">
        <v>0.2</v>
      </c>
      <c r="F29" s="221">
        <v>0.27</v>
      </c>
      <c r="G29" s="178">
        <v>0.19</v>
      </c>
      <c r="H29" s="178">
        <v>0.38</v>
      </c>
      <c r="I29" s="222">
        <v>0.15</v>
      </c>
      <c r="J29" s="205">
        <v>0.24</v>
      </c>
      <c r="K29" s="178">
        <v>0.2</v>
      </c>
      <c r="L29" s="178">
        <v>0.18</v>
      </c>
      <c r="M29" s="195">
        <v>0.2</v>
      </c>
      <c r="N29" s="221">
        <v>0.24</v>
      </c>
      <c r="O29" s="178">
        <v>0.19</v>
      </c>
      <c r="P29" s="222">
        <v>0.2</v>
      </c>
      <c r="Q29" s="205">
        <v>0.19</v>
      </c>
      <c r="R29" s="178">
        <v>0.23</v>
      </c>
      <c r="S29" s="154"/>
      <c r="T29" s="154"/>
      <c r="U29" s="154"/>
      <c r="V29" s="154"/>
      <c r="W29" s="154"/>
    </row>
    <row r="30" spans="1:23" ht="11.25" customHeight="1" thickTop="1" x14ac:dyDescent="0.25">
      <c r="A30" s="293" t="s">
        <v>233</v>
      </c>
      <c r="B30" s="168" t="s">
        <v>226</v>
      </c>
      <c r="C30" s="130">
        <v>0.68</v>
      </c>
      <c r="D30" s="133">
        <v>0.4</v>
      </c>
      <c r="E30" s="186">
        <v>0.25</v>
      </c>
      <c r="F30" s="209">
        <v>0.15</v>
      </c>
      <c r="G30" s="157">
        <v>0.2</v>
      </c>
      <c r="H30" s="157">
        <v>0.28999999999999998</v>
      </c>
      <c r="I30" s="210">
        <v>0.28000000000000003</v>
      </c>
      <c r="J30" s="201">
        <v>0.19</v>
      </c>
      <c r="K30" s="157">
        <v>0.33</v>
      </c>
      <c r="L30" s="157">
        <v>0.25</v>
      </c>
      <c r="M30" s="186">
        <v>0.3</v>
      </c>
      <c r="N30" s="209">
        <v>0.27</v>
      </c>
      <c r="O30" s="157">
        <v>0.2</v>
      </c>
      <c r="P30" s="210">
        <v>0.12</v>
      </c>
      <c r="Q30" s="201">
        <v>0.19</v>
      </c>
      <c r="R30" s="157">
        <v>0.28999999999999998</v>
      </c>
    </row>
    <row r="31" spans="1:23" ht="11.25" customHeight="1" x14ac:dyDescent="0.25">
      <c r="A31" s="290"/>
      <c r="B31" s="168" t="s">
        <v>225</v>
      </c>
      <c r="C31" s="130">
        <f>1-C30</f>
        <v>0.31999999999999995</v>
      </c>
      <c r="D31" s="130">
        <f>1-D30</f>
        <v>0.6</v>
      </c>
      <c r="E31" s="186">
        <f>1-E30</f>
        <v>0.75</v>
      </c>
      <c r="F31" s="223">
        <f>1-F30</f>
        <v>0.85</v>
      </c>
      <c r="G31" s="157">
        <f t="shared" ref="G31:R31" si="13">1-G30</f>
        <v>0.8</v>
      </c>
      <c r="H31" s="157">
        <f t="shared" si="13"/>
        <v>0.71</v>
      </c>
      <c r="I31" s="210">
        <f>1-I30</f>
        <v>0.72</v>
      </c>
      <c r="J31" s="201">
        <f t="shared" si="13"/>
        <v>0.81</v>
      </c>
      <c r="K31" s="157">
        <f t="shared" si="13"/>
        <v>0.66999999999999993</v>
      </c>
      <c r="L31" s="157">
        <f t="shared" si="13"/>
        <v>0.75</v>
      </c>
      <c r="M31" s="186">
        <f t="shared" si="13"/>
        <v>0.7</v>
      </c>
      <c r="N31" s="209">
        <f t="shared" si="13"/>
        <v>0.73</v>
      </c>
      <c r="O31" s="157">
        <f t="shared" si="13"/>
        <v>0.8</v>
      </c>
      <c r="P31" s="210">
        <f t="shared" si="13"/>
        <v>0.88</v>
      </c>
      <c r="Q31" s="201">
        <f t="shared" si="13"/>
        <v>0.81</v>
      </c>
      <c r="R31" s="157">
        <f t="shared" si="13"/>
        <v>0.71</v>
      </c>
    </row>
    <row r="32" spans="1:23" ht="11.25" customHeight="1" x14ac:dyDescent="0.25">
      <c r="A32" s="290"/>
      <c r="B32" s="154" t="s">
        <v>246</v>
      </c>
      <c r="E32" s="186">
        <v>0.61</v>
      </c>
      <c r="F32" s="209">
        <v>0.72</v>
      </c>
      <c r="G32" s="157">
        <v>0.69</v>
      </c>
      <c r="H32" s="157">
        <v>0.59</v>
      </c>
      <c r="I32" s="210">
        <v>0.56999999999999995</v>
      </c>
      <c r="J32" s="201">
        <v>0.67</v>
      </c>
      <c r="K32" s="157">
        <v>0.55000000000000004</v>
      </c>
      <c r="L32" s="157">
        <v>0.62</v>
      </c>
      <c r="M32" s="186">
        <v>0.56999999999999995</v>
      </c>
      <c r="N32" s="209">
        <v>0.6</v>
      </c>
      <c r="O32" s="157">
        <v>0.68</v>
      </c>
      <c r="P32" s="210">
        <v>0.68</v>
      </c>
      <c r="Q32" s="201">
        <v>0.68</v>
      </c>
      <c r="R32" s="157">
        <v>0.59</v>
      </c>
    </row>
    <row r="33" spans="1:23" ht="11.25" customHeight="1" x14ac:dyDescent="0.25">
      <c r="A33" s="290"/>
      <c r="B33" s="154" t="s">
        <v>247</v>
      </c>
      <c r="E33" s="186">
        <v>0.41</v>
      </c>
      <c r="F33" s="209">
        <v>0.46</v>
      </c>
      <c r="G33" s="157">
        <v>0.41</v>
      </c>
      <c r="H33" s="157">
        <v>0.36</v>
      </c>
      <c r="I33" s="210">
        <v>0.31</v>
      </c>
      <c r="J33" s="201">
        <v>0.46</v>
      </c>
      <c r="K33" s="157">
        <v>0.35</v>
      </c>
      <c r="L33" s="157">
        <v>0.4</v>
      </c>
      <c r="M33" s="186">
        <v>0.38</v>
      </c>
      <c r="N33" s="209">
        <v>0.37</v>
      </c>
      <c r="O33" s="157">
        <v>0.45</v>
      </c>
      <c r="P33" s="210">
        <v>0.63</v>
      </c>
      <c r="Q33" s="201">
        <v>0.47</v>
      </c>
      <c r="R33" s="157">
        <v>0.35</v>
      </c>
    </row>
    <row r="34" spans="1:23" ht="11.25" customHeight="1" x14ac:dyDescent="0.25">
      <c r="A34" s="290"/>
      <c r="B34" s="154" t="s">
        <v>248</v>
      </c>
      <c r="E34" s="186">
        <v>0.32</v>
      </c>
      <c r="F34" s="209">
        <v>0.4</v>
      </c>
      <c r="G34" s="157">
        <v>0.33</v>
      </c>
      <c r="H34" s="157">
        <v>0.28999999999999998</v>
      </c>
      <c r="I34" s="210">
        <v>0.32</v>
      </c>
      <c r="J34" s="201">
        <v>0.37</v>
      </c>
      <c r="K34" s="157">
        <v>0.28000000000000003</v>
      </c>
      <c r="L34" s="157">
        <v>0.32</v>
      </c>
      <c r="M34" s="186">
        <v>0.3</v>
      </c>
      <c r="N34" s="209">
        <v>0.28999999999999998</v>
      </c>
      <c r="O34" s="157">
        <v>0.36</v>
      </c>
      <c r="P34" s="210">
        <v>0.51</v>
      </c>
      <c r="Q34" s="201">
        <v>0.38</v>
      </c>
      <c r="R34" s="157">
        <v>0.28000000000000003</v>
      </c>
    </row>
    <row r="35" spans="1:23" ht="11.25" customHeight="1" x14ac:dyDescent="0.25">
      <c r="A35" s="290"/>
      <c r="B35" s="154" t="s">
        <v>249</v>
      </c>
      <c r="E35" s="186">
        <v>0.2</v>
      </c>
      <c r="F35" s="209">
        <v>0.22</v>
      </c>
      <c r="G35" s="157">
        <v>0.19</v>
      </c>
      <c r="H35" s="157">
        <v>0.15</v>
      </c>
      <c r="I35" s="210">
        <v>0.23</v>
      </c>
      <c r="J35" s="201">
        <v>0.23</v>
      </c>
      <c r="K35" s="157">
        <v>0.17</v>
      </c>
      <c r="L35" s="157">
        <v>0.2</v>
      </c>
      <c r="M35" s="186">
        <v>0.17</v>
      </c>
      <c r="N35" s="209">
        <v>0.15</v>
      </c>
      <c r="O35" s="157">
        <v>0.24</v>
      </c>
      <c r="P35" s="210">
        <v>0.46</v>
      </c>
      <c r="Q35" s="201">
        <v>0.26</v>
      </c>
      <c r="R35" s="157">
        <v>0.15</v>
      </c>
    </row>
    <row r="36" spans="1:23" s="179" customFormat="1" ht="11.25" customHeight="1" thickBot="1" x14ac:dyDescent="0.3">
      <c r="A36" s="292"/>
      <c r="B36" s="179" t="s">
        <v>250</v>
      </c>
      <c r="C36" s="172"/>
      <c r="D36" s="173"/>
      <c r="E36" s="190">
        <v>0.08</v>
      </c>
      <c r="F36" s="211">
        <v>0.08</v>
      </c>
      <c r="G36" s="174">
        <v>0.08</v>
      </c>
      <c r="H36" s="174">
        <v>7.0000000000000007E-2</v>
      </c>
      <c r="I36" s="212">
        <v>0.1</v>
      </c>
      <c r="J36" s="202">
        <v>0.08</v>
      </c>
      <c r="K36" s="174">
        <v>0.08</v>
      </c>
      <c r="L36" s="174">
        <v>0.08</v>
      </c>
      <c r="M36" s="190">
        <v>7.0000000000000007E-2</v>
      </c>
      <c r="N36" s="211">
        <v>7.0000000000000007E-2</v>
      </c>
      <c r="O36" s="174">
        <v>0.09</v>
      </c>
      <c r="P36" s="212">
        <v>7.0000000000000007E-2</v>
      </c>
      <c r="Q36" s="202">
        <v>0.11</v>
      </c>
      <c r="R36" s="174">
        <v>0.06</v>
      </c>
      <c r="S36" s="154"/>
      <c r="T36" s="154"/>
      <c r="U36" s="154"/>
      <c r="V36" s="154"/>
      <c r="W36" s="154"/>
    </row>
    <row r="37" spans="1:23" ht="11.25" customHeight="1" thickTop="1" x14ac:dyDescent="0.25">
      <c r="A37" s="293" t="s">
        <v>258</v>
      </c>
      <c r="B37" s="168" t="s">
        <v>226</v>
      </c>
      <c r="C37" s="130">
        <v>0.79</v>
      </c>
      <c r="D37" s="133">
        <f>1-D38</f>
        <v>0.88</v>
      </c>
      <c r="E37" s="186">
        <v>0.76619999999999999</v>
      </c>
      <c r="F37" s="209">
        <v>0.68</v>
      </c>
      <c r="G37" s="157">
        <v>0.75</v>
      </c>
      <c r="H37" s="157">
        <v>0.79</v>
      </c>
      <c r="I37" s="210">
        <v>0.8</v>
      </c>
      <c r="J37" s="201">
        <v>0.74</v>
      </c>
      <c r="K37" s="157">
        <v>0.84</v>
      </c>
      <c r="L37" s="157">
        <v>0.77</v>
      </c>
      <c r="M37" s="186">
        <v>0.82</v>
      </c>
      <c r="N37" s="209">
        <v>0.79</v>
      </c>
      <c r="O37" s="157">
        <v>0.73</v>
      </c>
      <c r="P37" s="210">
        <v>0.68</v>
      </c>
      <c r="Q37" s="201">
        <v>0.74</v>
      </c>
      <c r="R37" s="157">
        <v>0.8</v>
      </c>
    </row>
    <row r="38" spans="1:23" ht="11.25" customHeight="1" x14ac:dyDescent="0.25">
      <c r="A38" s="290"/>
      <c r="B38" s="168" t="s">
        <v>225</v>
      </c>
      <c r="C38" s="130">
        <f>1-C37</f>
        <v>0.20999999999999996</v>
      </c>
      <c r="D38" s="133">
        <v>0.12</v>
      </c>
      <c r="E38" s="186">
        <f>1-E37</f>
        <v>0.23380000000000001</v>
      </c>
      <c r="F38" s="209">
        <f t="shared" ref="F38:R38" si="14">1-F37</f>
        <v>0.31999999999999995</v>
      </c>
      <c r="G38" s="157">
        <f>1-G37</f>
        <v>0.25</v>
      </c>
      <c r="H38" s="157">
        <f t="shared" si="14"/>
        <v>0.20999999999999996</v>
      </c>
      <c r="I38" s="210">
        <f t="shared" si="14"/>
        <v>0.19999999999999996</v>
      </c>
      <c r="J38" s="201">
        <f t="shared" si="14"/>
        <v>0.26</v>
      </c>
      <c r="K38" s="157">
        <f t="shared" si="14"/>
        <v>0.16000000000000003</v>
      </c>
      <c r="L38" s="157">
        <f t="shared" si="14"/>
        <v>0.22999999999999998</v>
      </c>
      <c r="M38" s="186">
        <f t="shared" si="14"/>
        <v>0.18000000000000005</v>
      </c>
      <c r="N38" s="209">
        <f t="shared" si="14"/>
        <v>0.20999999999999996</v>
      </c>
      <c r="O38" s="157">
        <f t="shared" si="14"/>
        <v>0.27</v>
      </c>
      <c r="P38" s="210">
        <f t="shared" si="14"/>
        <v>0.31999999999999995</v>
      </c>
      <c r="Q38" s="201">
        <f t="shared" si="14"/>
        <v>0.26</v>
      </c>
      <c r="R38" s="157">
        <f t="shared" si="14"/>
        <v>0.19999999999999996</v>
      </c>
    </row>
    <row r="39" spans="1:23" ht="11.25" customHeight="1" x14ac:dyDescent="0.25">
      <c r="A39" s="290"/>
      <c r="B39" s="154" t="s">
        <v>251</v>
      </c>
      <c r="C39" s="130">
        <v>0.09</v>
      </c>
      <c r="E39" s="186">
        <f>(1/E$4)*74</f>
        <v>6.8709377901578453E-2</v>
      </c>
      <c r="F39" s="209">
        <f>(1/F$4)*9</f>
        <v>0.11538461538461538</v>
      </c>
      <c r="G39" s="157">
        <f>(1/G$4)*20</f>
        <v>8.8495575221238937E-2</v>
      </c>
      <c r="H39" s="157">
        <f>(1/H$4)*23</f>
        <v>7.7702702702702714E-2</v>
      </c>
      <c r="I39" s="210">
        <f>(1/I$4)*18</f>
        <v>5.863192182410424E-2</v>
      </c>
      <c r="J39" s="201">
        <f>(1/J$4)*68</f>
        <v>0.10658307210031348</v>
      </c>
      <c r="K39" s="157">
        <f>(1/K$4)*7</f>
        <v>2.3026315789473683E-2</v>
      </c>
      <c r="L39" s="157">
        <f>(1/L$4)*14</f>
        <v>5.1094890510948905E-2</v>
      </c>
      <c r="M39" s="186">
        <f>(1/M$4)*9</f>
        <v>3.6585365853658541E-2</v>
      </c>
      <c r="N39" s="209">
        <f>(1/N$4)*32</f>
        <v>5.2373158756137482E-2</v>
      </c>
      <c r="O39" s="157">
        <f>(1/O$4)*29</f>
        <v>0.11372549019607843</v>
      </c>
      <c r="P39" s="210">
        <f>(1/P$4)*9</f>
        <v>0.21951219512195122</v>
      </c>
      <c r="Q39" s="201">
        <f>(1/Q$4)*34</f>
        <v>0.1223021582733813</v>
      </c>
      <c r="R39" s="157">
        <f>(1/R$4)*24</f>
        <v>5.3932584269662923E-2</v>
      </c>
    </row>
    <row r="40" spans="1:23" ht="11.25" customHeight="1" x14ac:dyDescent="0.25">
      <c r="A40" s="290"/>
      <c r="B40" s="154" t="s">
        <v>252</v>
      </c>
      <c r="C40" s="130">
        <v>0.05</v>
      </c>
      <c r="E40" s="186">
        <f>(1/E$4)*54</f>
        <v>5.0139275766016712E-2</v>
      </c>
      <c r="F40" s="209">
        <f>(1/F$4)*9</f>
        <v>0.11538461538461538</v>
      </c>
      <c r="G40" s="157">
        <f>(1/G$4)*11</f>
        <v>4.8672566371681415E-2</v>
      </c>
      <c r="H40" s="236">
        <f>(1/H$4)*13</f>
        <v>4.3918918918918921E-2</v>
      </c>
      <c r="I40" s="210">
        <f>(1/I$4)*15</f>
        <v>4.8859934853420196E-2</v>
      </c>
      <c r="J40" s="201">
        <f>(1/J$4)*44</f>
        <v>6.8965517241379309E-2</v>
      </c>
      <c r="K40" s="157">
        <f>(1/K$4)*9</f>
        <v>2.9605263157894735E-2</v>
      </c>
      <c r="L40" s="157">
        <f>(1/L$4)*13</f>
        <v>4.7445255474452552E-2</v>
      </c>
      <c r="M40" s="186">
        <f>(1/M$4)*12</f>
        <v>4.878048780487805E-2</v>
      </c>
      <c r="N40" s="209">
        <f>(1/N$4)*35</f>
        <v>5.7283142389525372E-2</v>
      </c>
      <c r="O40" s="157">
        <f>(1/O$4)*14</f>
        <v>5.4901960784313725E-2</v>
      </c>
      <c r="P40" s="210">
        <f>(1/P$4)*2</f>
        <v>4.878048780487805E-2</v>
      </c>
      <c r="Q40" s="201">
        <f>(1/Q$4)*15</f>
        <v>5.3956834532374105E-2</v>
      </c>
      <c r="R40" s="157">
        <f>(1/R$4)*23</f>
        <v>5.168539325842697E-2</v>
      </c>
    </row>
    <row r="41" spans="1:23" ht="11.25" customHeight="1" x14ac:dyDescent="0.25">
      <c r="A41" s="290"/>
      <c r="B41" s="154" t="s">
        <v>253</v>
      </c>
      <c r="C41" s="130">
        <v>0.04</v>
      </c>
      <c r="E41" s="186">
        <f>(1/E$4)*19</f>
        <v>1.7641597028783658E-2</v>
      </c>
      <c r="F41" s="209">
        <f>(1/F$4)*2</f>
        <v>2.564102564102564E-2</v>
      </c>
      <c r="G41" s="157">
        <f>(1/G$4)*8</f>
        <v>3.5398230088495575E-2</v>
      </c>
      <c r="H41" s="157">
        <f>(1/H$4)*5</f>
        <v>1.6891891891891893E-2</v>
      </c>
      <c r="I41" s="210">
        <f>(1/I$4)*4</f>
        <v>1.3029315960912053E-2</v>
      </c>
      <c r="J41" s="201">
        <f>(1/J$4)*6</f>
        <v>9.4043887147335428E-3</v>
      </c>
      <c r="K41" s="157">
        <f>(1/K$4)*18</f>
        <v>5.921052631578947E-2</v>
      </c>
      <c r="L41" s="157">
        <f>(1/L$4)*10</f>
        <v>3.6496350364963501E-2</v>
      </c>
      <c r="M41" s="186">
        <f>(1/M$4)*11</f>
        <v>4.4715447154471552E-2</v>
      </c>
      <c r="N41" s="209">
        <f>(1/N$4)*11</f>
        <v>1.8003273322422259E-2</v>
      </c>
      <c r="O41" s="157">
        <f>(1/O$4)*8</f>
        <v>3.1372549019607843E-2</v>
      </c>
      <c r="P41" s="210">
        <f>(1/P$4)*0</f>
        <v>0</v>
      </c>
      <c r="Q41" s="201">
        <f>(1/Q$4)*4</f>
        <v>1.4388489208633094E-2</v>
      </c>
      <c r="R41" s="157">
        <f>(1/R$4)*12</f>
        <v>2.6966292134831461E-2</v>
      </c>
    </row>
    <row r="42" spans="1:23" ht="11.25" customHeight="1" x14ac:dyDescent="0.25">
      <c r="A42" s="290"/>
      <c r="B42" s="154" t="s">
        <v>254</v>
      </c>
      <c r="C42" s="130">
        <v>0.02</v>
      </c>
      <c r="E42" s="186">
        <f>(1/E$4)*26</f>
        <v>2.414113277623027E-2</v>
      </c>
      <c r="F42" s="209">
        <f>(1/F$4)*5</f>
        <v>6.4102564102564097E-2</v>
      </c>
      <c r="G42" s="157">
        <f>(1/G$4)*5</f>
        <v>2.2123893805309734E-2</v>
      </c>
      <c r="H42" s="157">
        <f>(1/H$4)*7</f>
        <v>2.364864864864865E-2</v>
      </c>
      <c r="I42" s="210">
        <f>(1/I$4)*7</f>
        <v>2.2801302931596091E-2</v>
      </c>
      <c r="J42" s="201">
        <f>(1/J$4)*12</f>
        <v>1.8808777429467086E-2</v>
      </c>
      <c r="K42" s="157">
        <f>(1/K$4)*7</f>
        <v>2.3026315789473683E-2</v>
      </c>
      <c r="L42" s="157">
        <f>(1/L$4)*19</f>
        <v>6.9343065693430656E-2</v>
      </c>
      <c r="M42" s="186">
        <f>(1/M$4)*7</f>
        <v>2.8455284552845531E-2</v>
      </c>
      <c r="N42" s="209">
        <f>(1/N$4)*21</f>
        <v>3.4369885433715219E-2</v>
      </c>
      <c r="O42" s="157">
        <f>(1/O$4)*2</f>
        <v>7.8431372549019607E-3</v>
      </c>
      <c r="P42" s="210">
        <f>(1/P$4)*1</f>
        <v>2.4390243902439025E-2</v>
      </c>
      <c r="Q42" s="201">
        <f>(1/Q$4)*6</f>
        <v>2.1582733812949641E-2</v>
      </c>
      <c r="R42" s="157">
        <f>(1/R$4)*13</f>
        <v>2.9213483146067417E-2</v>
      </c>
    </row>
    <row r="43" spans="1:23" s="179" customFormat="1" ht="11.25" customHeight="1" thickBot="1" x14ac:dyDescent="0.3">
      <c r="A43" s="292"/>
      <c r="B43" s="179" t="s">
        <v>255</v>
      </c>
      <c r="C43" s="172">
        <v>0.03</v>
      </c>
      <c r="D43" s="173"/>
      <c r="E43" s="190">
        <f>(1/E$4)*44</f>
        <v>4.0854224698235839E-2</v>
      </c>
      <c r="F43" s="211">
        <f>(1/F$4)*1</f>
        <v>1.282051282051282E-2</v>
      </c>
      <c r="G43" s="174">
        <f>(1/G$4)*13</f>
        <v>5.7522123893805309E-2</v>
      </c>
      <c r="H43" s="174">
        <f>(1/H$4)*13</f>
        <v>4.3918918918918921E-2</v>
      </c>
      <c r="I43" s="212">
        <f>(1/I$4)*14</f>
        <v>4.5602605863192182E-2</v>
      </c>
      <c r="J43" s="202">
        <f>(1/J$4)*33</f>
        <v>5.1724137931034482E-2</v>
      </c>
      <c r="K43" s="174">
        <f>(1/K$4)*8</f>
        <v>2.6315789473684209E-2</v>
      </c>
      <c r="L43" s="174">
        <f>(1/L$4)*8</f>
        <v>2.9197080291970802E-2</v>
      </c>
      <c r="M43" s="190">
        <v>7.0000000000000007E-2</v>
      </c>
      <c r="N43" s="211">
        <f>(1/N$4)*26</f>
        <v>4.2553191489361701E-2</v>
      </c>
      <c r="O43" s="174">
        <f>(1/O$4)*14</f>
        <v>5.4901960784313725E-2</v>
      </c>
      <c r="P43" s="212">
        <f>(1/P$4)*1</f>
        <v>2.4390243902439025E-2</v>
      </c>
      <c r="Q43" s="202">
        <f>(1/Q$4)*11</f>
        <v>3.9568345323741011E-2</v>
      </c>
      <c r="R43" s="174">
        <f>(1/R$4)*15</f>
        <v>3.3707865168539332E-2</v>
      </c>
      <c r="S43" s="154"/>
      <c r="T43" s="154"/>
      <c r="U43" s="154"/>
      <c r="V43" s="154"/>
      <c r="W43" s="154"/>
    </row>
    <row r="44" spans="1:23" ht="12.75" customHeight="1" thickTop="1" x14ac:dyDescent="0.25">
      <c r="A44" s="290" t="s">
        <v>235</v>
      </c>
      <c r="B44" s="139" t="s">
        <v>238</v>
      </c>
      <c r="C44" s="156"/>
      <c r="D44" s="156"/>
      <c r="E44" s="196">
        <v>950</v>
      </c>
      <c r="F44" s="224">
        <v>73</v>
      </c>
      <c r="G44" s="161">
        <v>214</v>
      </c>
      <c r="H44" s="161">
        <v>291</v>
      </c>
      <c r="I44" s="225">
        <v>291</v>
      </c>
      <c r="J44" s="206">
        <v>611</v>
      </c>
      <c r="K44" s="161">
        <v>291</v>
      </c>
      <c r="L44" s="161">
        <v>258</v>
      </c>
      <c r="M44" s="196">
        <v>234</v>
      </c>
      <c r="N44" s="224">
        <v>585</v>
      </c>
      <c r="O44" s="161">
        <v>247</v>
      </c>
      <c r="P44" s="225">
        <v>37</v>
      </c>
      <c r="Q44" s="206">
        <v>265</v>
      </c>
      <c r="R44" s="161">
        <v>428</v>
      </c>
    </row>
    <row r="45" spans="1:23" ht="12.75" customHeight="1" x14ac:dyDescent="0.25">
      <c r="A45" s="290"/>
      <c r="B45" s="139" t="s">
        <v>172</v>
      </c>
      <c r="C45" s="130">
        <v>0.26</v>
      </c>
      <c r="D45" s="130">
        <v>0.28999999999999998</v>
      </c>
      <c r="E45" s="193">
        <f>(1/E$44)*331</f>
        <v>0.34842105263157896</v>
      </c>
      <c r="F45" s="215">
        <f>(1/F$44)*20</f>
        <v>0.27397260273972601</v>
      </c>
      <c r="G45" s="158">
        <f>(1/G$44)*75</f>
        <v>0.35046728971962615</v>
      </c>
      <c r="H45" s="158">
        <f>(1/H$44)*104</f>
        <v>0.35738831615120276</v>
      </c>
      <c r="I45" s="216">
        <f>(1/I$44)*113</f>
        <v>0.38831615120274915</v>
      </c>
      <c r="J45" s="162">
        <f>(1/J$44)*188</f>
        <v>0.30769230769230771</v>
      </c>
      <c r="K45" s="158">
        <f>(1/K$44)*122</f>
        <v>0.41924398625429554</v>
      </c>
      <c r="L45" s="158">
        <f>(1/L$44)*101</f>
        <v>0.39147286821705424</v>
      </c>
      <c r="M45" s="193">
        <f>(1/M$44)*104</f>
        <v>0.44444444444444448</v>
      </c>
      <c r="N45" s="215">
        <f>(1/N$44)*200</f>
        <v>0.34188034188034189</v>
      </c>
      <c r="O45" s="158">
        <f>(1/O$44)*94</f>
        <v>0.38056680161943318</v>
      </c>
      <c r="P45" s="216">
        <f>(1/P$44)*14</f>
        <v>0.3783783783783784</v>
      </c>
      <c r="Q45" s="162">
        <f>(1/Q$44)*84</f>
        <v>0.31698113207547168</v>
      </c>
      <c r="R45" s="158">
        <f>(1/R$44)*173</f>
        <v>0.40420560747663548</v>
      </c>
    </row>
    <row r="46" spans="1:23" ht="12.75" customHeight="1" x14ac:dyDescent="0.25">
      <c r="A46" s="290"/>
      <c r="B46" s="139" t="s">
        <v>126</v>
      </c>
      <c r="C46" s="130">
        <v>0.26</v>
      </c>
      <c r="D46" s="130">
        <v>0.13</v>
      </c>
      <c r="E46" s="193">
        <f>(1/E$44)*98</f>
        <v>0.1031578947368421</v>
      </c>
      <c r="F46" s="215">
        <f>(1/F$44)*4</f>
        <v>5.4794520547945202E-2</v>
      </c>
      <c r="G46" s="158">
        <f>(1/G$44)*23</f>
        <v>0.10747663551401869</v>
      </c>
      <c r="H46" s="158">
        <f>(1/H$44)*37</f>
        <v>0.12714776632302405</v>
      </c>
      <c r="I46" s="216">
        <f>(1/I$44)*27</f>
        <v>9.2783505154639179E-2</v>
      </c>
      <c r="J46" s="162">
        <f>(1/J$44)*74</f>
        <v>0.12111292962356793</v>
      </c>
      <c r="K46" s="158">
        <f>(1/K$44)*19</f>
        <v>6.5292096219931275E-2</v>
      </c>
      <c r="L46" s="158">
        <f>(1/L$44)*24</f>
        <v>9.3023255813953487E-2</v>
      </c>
      <c r="M46" s="193">
        <f>(1/M$44)*22</f>
        <v>9.401709401709403E-2</v>
      </c>
      <c r="N46" s="215">
        <f>(1/N$44)*60</f>
        <v>0.10256410256410256</v>
      </c>
      <c r="O46" s="158">
        <f>(1/O$44)*30</f>
        <v>0.12145748987854252</v>
      </c>
      <c r="P46" s="216">
        <f>(1/P$44)*2</f>
        <v>5.4054054054054057E-2</v>
      </c>
      <c r="Q46" s="162">
        <f>(1/Q$44)*25</f>
        <v>9.4339622641509441E-2</v>
      </c>
      <c r="R46" s="158">
        <f>(1/R$44)*46</f>
        <v>0.10747663551401869</v>
      </c>
    </row>
    <row r="47" spans="1:23" ht="12.75" customHeight="1" x14ac:dyDescent="0.25">
      <c r="A47" s="290"/>
      <c r="B47" s="139" t="s">
        <v>149</v>
      </c>
      <c r="C47" s="130">
        <v>0.3</v>
      </c>
      <c r="D47" s="130">
        <v>0.38</v>
      </c>
      <c r="E47" s="193">
        <f>(1/E$44)*320</f>
        <v>0.33684210526315789</v>
      </c>
      <c r="F47" s="215">
        <f>(1/F$44)*36</f>
        <v>0.49315068493150682</v>
      </c>
      <c r="G47" s="158">
        <f>(1/G$44)*73</f>
        <v>0.34112149532710279</v>
      </c>
      <c r="H47" s="158">
        <f>(1/H$44)*92</f>
        <v>0.31615120274914088</v>
      </c>
      <c r="I47" s="216">
        <f>(1/I$44)*89</f>
        <v>0.3058419243986254</v>
      </c>
      <c r="J47" s="162">
        <f>(1/J$44)*225</f>
        <v>0.36824877250409166</v>
      </c>
      <c r="K47" s="158">
        <f>(1/K$44)*93</f>
        <v>0.31958762886597936</v>
      </c>
      <c r="L47" s="158">
        <f>(1/L$44)*89</f>
        <v>0.34496124031007752</v>
      </c>
      <c r="M47" s="193">
        <f>(1/M$44)*66</f>
        <v>0.2820512820512821</v>
      </c>
      <c r="N47" s="215">
        <f>(1/N$44)*188</f>
        <v>0.32136752136752139</v>
      </c>
      <c r="O47" s="158">
        <f>(1/O$44)*92</f>
        <v>0.37246963562753038</v>
      </c>
      <c r="P47" s="216">
        <f>(1/P$44)*16</f>
        <v>0.43243243243243246</v>
      </c>
      <c r="Q47" s="162">
        <f>(1/Q$44)*104</f>
        <v>0.39245283018867927</v>
      </c>
      <c r="R47" s="158">
        <f>(1/R$44)*127</f>
        <v>0.29672897196261683</v>
      </c>
    </row>
    <row r="48" spans="1:23" s="179" customFormat="1" ht="12.75" customHeight="1" thickBot="1" x14ac:dyDescent="0.3">
      <c r="A48" s="170"/>
      <c r="B48" s="176" t="s">
        <v>5</v>
      </c>
      <c r="C48" s="172">
        <v>0.17</v>
      </c>
      <c r="D48" s="172">
        <v>0.2</v>
      </c>
      <c r="E48" s="192">
        <f>(1/E$44)*201</f>
        <v>0.21157894736842106</v>
      </c>
      <c r="F48" s="213">
        <f>(1/F$44)*13</f>
        <v>0.17808219178082191</v>
      </c>
      <c r="G48" s="175">
        <f>(1/G$44)*43</f>
        <v>0.20093457943925233</v>
      </c>
      <c r="H48" s="175">
        <f>(1/H$44)*58</f>
        <v>0.19931271477663229</v>
      </c>
      <c r="I48" s="214">
        <v>0.21</v>
      </c>
      <c r="J48" s="180">
        <f>(1/J$44)*124</f>
        <v>0.20294599018003273</v>
      </c>
      <c r="K48" s="175">
        <f>(1/K$44)*57</f>
        <v>0.19587628865979381</v>
      </c>
      <c r="L48" s="175">
        <f>(1/L$44)*44</f>
        <v>0.17054263565891473</v>
      </c>
      <c r="M48" s="192">
        <f>(1/M$44)*42</f>
        <v>0.17948717948717952</v>
      </c>
      <c r="N48" s="213">
        <f>(1/N$44)*137</f>
        <v>0.23418803418803419</v>
      </c>
      <c r="O48" s="175">
        <f>(1/O$44)*31</f>
        <v>0.12550607287449392</v>
      </c>
      <c r="P48" s="214">
        <f>(1/P$44)*5</f>
        <v>0.13513513513513514</v>
      </c>
      <c r="Q48" s="180">
        <f>(1/Q$44)*52</f>
        <v>0.19622641509433963</v>
      </c>
      <c r="R48" s="175">
        <f>(1/R$44)*82</f>
        <v>0.19158878504672897</v>
      </c>
      <c r="S48" s="154"/>
      <c r="T48" s="154"/>
      <c r="U48" s="154"/>
      <c r="V48" s="154"/>
      <c r="W48" s="154"/>
    </row>
    <row r="49" spans="1:23" ht="11.25" customHeight="1" thickTop="1" x14ac:dyDescent="0.25">
      <c r="A49" s="294" t="s">
        <v>256</v>
      </c>
      <c r="B49" s="139" t="s">
        <v>130</v>
      </c>
      <c r="D49" s="128">
        <v>0.38</v>
      </c>
      <c r="E49" s="197">
        <v>0.42</v>
      </c>
      <c r="F49" s="215">
        <v>0.49</v>
      </c>
      <c r="G49" s="162">
        <v>0.39</v>
      </c>
      <c r="H49" s="162">
        <v>0.47</v>
      </c>
      <c r="I49" s="226">
        <v>0.4</v>
      </c>
      <c r="J49" s="162">
        <v>0.41</v>
      </c>
      <c r="K49" s="162">
        <v>0.47</v>
      </c>
      <c r="L49" s="162">
        <v>0.39</v>
      </c>
      <c r="M49" s="197">
        <v>0.42</v>
      </c>
      <c r="N49" s="215">
        <v>0.46</v>
      </c>
      <c r="O49" s="162">
        <v>0.36</v>
      </c>
      <c r="P49" s="226">
        <v>0.37</v>
      </c>
      <c r="Q49" s="162">
        <v>0.37</v>
      </c>
      <c r="R49" s="162">
        <v>0.47</v>
      </c>
    </row>
    <row r="50" spans="1:23" ht="11.25" customHeight="1" x14ac:dyDescent="0.25">
      <c r="A50" s="295"/>
      <c r="B50" s="139" t="s">
        <v>187</v>
      </c>
      <c r="D50" s="128">
        <v>0.38</v>
      </c>
      <c r="E50" s="197">
        <v>0.37</v>
      </c>
      <c r="F50" s="215">
        <v>0.24</v>
      </c>
      <c r="G50" s="162">
        <v>0.35</v>
      </c>
      <c r="H50" s="162">
        <v>0.4</v>
      </c>
      <c r="I50" s="226">
        <v>0.38</v>
      </c>
      <c r="J50" s="162">
        <v>0.37</v>
      </c>
      <c r="K50" s="162">
        <v>0.33</v>
      </c>
      <c r="L50" s="162">
        <v>0.39</v>
      </c>
      <c r="M50" s="197">
        <v>0.38</v>
      </c>
      <c r="N50" s="215">
        <v>0.36</v>
      </c>
      <c r="O50" s="162">
        <v>0.39</v>
      </c>
      <c r="P50" s="226">
        <v>0.41</v>
      </c>
      <c r="Q50" s="162">
        <v>0.32</v>
      </c>
      <c r="R50" s="162">
        <v>0.39</v>
      </c>
    </row>
    <row r="51" spans="1:23" s="179" customFormat="1" ht="11.25" customHeight="1" thickBot="1" x14ac:dyDescent="0.3">
      <c r="A51" s="296"/>
      <c r="B51" s="176" t="s">
        <v>186</v>
      </c>
      <c r="C51" s="172"/>
      <c r="D51" s="177">
        <v>0.24</v>
      </c>
      <c r="E51" s="198">
        <v>0.2</v>
      </c>
      <c r="F51" s="213">
        <v>0.27</v>
      </c>
      <c r="G51" s="180">
        <v>0.26</v>
      </c>
      <c r="H51" s="180">
        <v>0.13</v>
      </c>
      <c r="I51" s="227">
        <v>0.22</v>
      </c>
      <c r="J51" s="180">
        <v>0.22</v>
      </c>
      <c r="K51" s="180">
        <v>0.2</v>
      </c>
      <c r="L51" s="180">
        <v>0.22</v>
      </c>
      <c r="M51" s="198">
        <v>0.21</v>
      </c>
      <c r="N51" s="213">
        <v>0.19</v>
      </c>
      <c r="O51" s="180">
        <v>0.25</v>
      </c>
      <c r="P51" s="227">
        <v>0.22</v>
      </c>
      <c r="Q51" s="180">
        <v>0.31</v>
      </c>
      <c r="R51" s="180">
        <v>0.14000000000000001</v>
      </c>
      <c r="S51" s="154"/>
      <c r="T51" s="154"/>
      <c r="U51" s="154"/>
      <c r="V51" s="154"/>
      <c r="W51" s="154"/>
    </row>
    <row r="52" spans="1:23" ht="11.25" customHeight="1" thickTop="1" x14ac:dyDescent="0.25">
      <c r="A52" s="290" t="s">
        <v>236</v>
      </c>
      <c r="B52" s="139" t="s">
        <v>237</v>
      </c>
      <c r="C52" s="131"/>
      <c r="D52" s="131"/>
      <c r="E52" s="199">
        <v>864</v>
      </c>
      <c r="F52" s="273">
        <v>73</v>
      </c>
      <c r="G52" s="163">
        <v>213</v>
      </c>
      <c r="H52" s="163">
        <v>272</v>
      </c>
      <c r="I52" s="228">
        <v>285</v>
      </c>
      <c r="J52" s="207">
        <v>590</v>
      </c>
      <c r="K52" s="163">
        <v>289</v>
      </c>
      <c r="L52" s="163">
        <v>258</v>
      </c>
      <c r="M52" s="199">
        <v>232</v>
      </c>
      <c r="N52" s="232">
        <v>568</v>
      </c>
      <c r="O52" s="163">
        <v>239</v>
      </c>
      <c r="P52" s="228">
        <v>39</v>
      </c>
      <c r="Q52" s="207">
        <v>256</v>
      </c>
      <c r="R52" s="163">
        <v>417</v>
      </c>
    </row>
    <row r="53" spans="1:23" ht="11.25" customHeight="1" x14ac:dyDescent="0.25">
      <c r="A53" s="290"/>
      <c r="B53" s="139" t="s">
        <v>7</v>
      </c>
      <c r="C53" s="131">
        <v>0.17</v>
      </c>
      <c r="D53" s="131">
        <v>0.11</v>
      </c>
      <c r="E53" s="186">
        <f>(1/E$52)*189</f>
        <v>0.21875</v>
      </c>
      <c r="F53" s="209">
        <f>(1/F$52)*14</f>
        <v>0.19178082191780821</v>
      </c>
      <c r="G53" s="157">
        <f>(1/G$52)*38</f>
        <v>0.17840375586854459</v>
      </c>
      <c r="H53" s="157">
        <f>(1/H$52)*59</f>
        <v>0.21691176470588236</v>
      </c>
      <c r="I53" s="210">
        <f>(1/I$52)*69</f>
        <v>0.24210526315789474</v>
      </c>
      <c r="J53" s="201">
        <f>(1/J$52)*133</f>
        <v>0.22542372881355932</v>
      </c>
      <c r="K53" s="157">
        <f>(1/K$52)*50</f>
        <v>0.17301038062283738</v>
      </c>
      <c r="L53" s="157">
        <f>(1/L$52)*50</f>
        <v>0.19379844961240311</v>
      </c>
      <c r="M53" s="186">
        <f>(1/M$52)*36</f>
        <v>0.15517241379310345</v>
      </c>
      <c r="N53" s="209">
        <f>(1/N$52)*133</f>
        <v>0.23415492957746478</v>
      </c>
      <c r="O53" s="157">
        <f>(1/O$52)*40</f>
        <v>0.16736401673640167</v>
      </c>
      <c r="P53" s="210">
        <f>(1/P$52)*8</f>
        <v>0.20512820512820512</v>
      </c>
      <c r="Q53" s="201">
        <f>(1/Q$52)*45</f>
        <v>0.17578125</v>
      </c>
      <c r="R53" s="157">
        <f>(1/R$52)*93</f>
        <v>0.22302158273381292</v>
      </c>
    </row>
    <row r="54" spans="1:23" ht="11.25" customHeight="1" x14ac:dyDescent="0.25">
      <c r="A54" s="290"/>
      <c r="B54" s="142" t="s">
        <v>119</v>
      </c>
      <c r="C54" s="131">
        <v>0.34</v>
      </c>
      <c r="D54" s="131">
        <v>0.55000000000000004</v>
      </c>
      <c r="E54" s="186">
        <f>(1/E$52)*394</f>
        <v>0.45601851851851849</v>
      </c>
      <c r="F54" s="209">
        <f>(1/F$52)*37</f>
        <v>0.50684931506849318</v>
      </c>
      <c r="G54" s="157">
        <f>(1/G$52)*112</f>
        <v>0.5258215962441315</v>
      </c>
      <c r="H54" s="157">
        <f>(1/H$52)*105</f>
        <v>0.3860294117647059</v>
      </c>
      <c r="I54" s="210">
        <f>(1/I$52)*127</f>
        <v>0.4456140350877193</v>
      </c>
      <c r="J54" s="201">
        <f>(1/J$52)*255</f>
        <v>0.43220338983050849</v>
      </c>
      <c r="K54" s="157">
        <f>(1/K$52)*167</f>
        <v>0.57785467128027679</v>
      </c>
      <c r="L54" s="157">
        <f>(1/L$52)*144</f>
        <v>0.55813953488372092</v>
      </c>
      <c r="M54" s="186">
        <f>(1/M$52)*141</f>
        <v>0.60775862068965514</v>
      </c>
      <c r="N54" s="209">
        <f>(1/N$52)*242</f>
        <v>0.426056338028169</v>
      </c>
      <c r="O54" s="157">
        <f>(1/O$52)*123</f>
        <v>0.5146443514644351</v>
      </c>
      <c r="P54" s="210">
        <f>(1/P$52)*21</f>
        <v>0.53846153846153844</v>
      </c>
      <c r="Q54" s="201">
        <f>(1/Q$52)*120</f>
        <v>0.46875</v>
      </c>
      <c r="R54" s="157">
        <f>(1/R$52)*179</f>
        <v>0.42925659472422062</v>
      </c>
    </row>
    <row r="55" spans="1:23" ht="11.25" customHeight="1" x14ac:dyDescent="0.25">
      <c r="A55" s="290"/>
      <c r="B55" s="142" t="s">
        <v>8</v>
      </c>
      <c r="C55" s="130">
        <v>0.23</v>
      </c>
      <c r="D55" s="130">
        <v>0.25</v>
      </c>
      <c r="E55" s="186">
        <f>(1/E$52)*255</f>
        <v>0.2951388888888889</v>
      </c>
      <c r="F55" s="209">
        <f>(1/F$52)*24</f>
        <v>0.32876712328767121</v>
      </c>
      <c r="G55" s="157">
        <f>(1/G$52)*62</f>
        <v>0.29107981220657275</v>
      </c>
      <c r="H55" s="157">
        <f>(1/H$52)*64</f>
        <v>0.23529411764705882</v>
      </c>
      <c r="I55" s="210">
        <f>(1/I$52)*95</f>
        <v>0.33333333333333331</v>
      </c>
      <c r="J55" s="201">
        <f>(1/J$52)*137</f>
        <v>0.23220338983050848</v>
      </c>
      <c r="K55" s="157">
        <f>(1/K$52)*138</f>
        <v>0.47750865051903113</v>
      </c>
      <c r="L55" s="157">
        <f>(1/L$52)*102</f>
        <v>0.39534883720930231</v>
      </c>
      <c r="M55" s="186">
        <f>(1/M$52)*89</f>
        <v>0.38362068965517243</v>
      </c>
      <c r="N55" s="209">
        <f>(1/N$52)*162</f>
        <v>0.28521126760563381</v>
      </c>
      <c r="O55" s="157">
        <f>(1/O$52)*74</f>
        <v>0.30962343096234307</v>
      </c>
      <c r="P55" s="210">
        <f>(1/P$52)*12</f>
        <v>0.30769230769230771</v>
      </c>
      <c r="Q55" s="201">
        <f>(1/Q$52)*75</f>
        <v>0.29296875</v>
      </c>
      <c r="R55" s="157">
        <f>(1/R$52)*123</f>
        <v>0.29496402877697842</v>
      </c>
    </row>
    <row r="56" spans="1:23" ht="11.25" customHeight="1" x14ac:dyDescent="0.25">
      <c r="A56" s="290"/>
      <c r="B56" s="139" t="s">
        <v>120</v>
      </c>
      <c r="C56" s="131">
        <v>0.1</v>
      </c>
      <c r="D56" s="131">
        <v>0.13</v>
      </c>
      <c r="E56" s="186">
        <f>(1/E$52)*87</f>
        <v>0.10069444444444443</v>
      </c>
      <c r="F56" s="209">
        <f>(1/F$52)*9</f>
        <v>0.12328767123287671</v>
      </c>
      <c r="G56" s="157">
        <f>(1/G$52)*32</f>
        <v>0.15023474178403756</v>
      </c>
      <c r="H56" s="157">
        <f>(1/H$52)*19</f>
        <v>6.985294117647059E-2</v>
      </c>
      <c r="I56" s="210">
        <f>(1/I$52)*26</f>
        <v>9.1228070175438603E-2</v>
      </c>
      <c r="J56" s="201">
        <f>(1/J$52)*65</f>
        <v>0.11016949152542373</v>
      </c>
      <c r="K56" s="157">
        <f>(1/K$52)*23</f>
        <v>7.9584775086505188E-2</v>
      </c>
      <c r="L56" s="157">
        <f>(1/L$52)*24</f>
        <v>9.3023255813953487E-2</v>
      </c>
      <c r="M56" s="186">
        <f>(1/M$52)*21</f>
        <v>9.0517241379310345E-2</v>
      </c>
      <c r="N56" s="209">
        <f>(1/N$52)*61</f>
        <v>0.10739436619718309</v>
      </c>
      <c r="O56" s="157">
        <f>(1/O$52)*18</f>
        <v>7.5313807531380741E-2</v>
      </c>
      <c r="P56" s="210">
        <f>(1/P$52)*7</f>
        <v>0.17948717948717949</v>
      </c>
      <c r="Q56" s="201">
        <f>(1/Q$52)*45</f>
        <v>0.17578125</v>
      </c>
      <c r="R56" s="157">
        <f>(1/R$52)*27</f>
        <v>6.4748201438848921E-2</v>
      </c>
    </row>
    <row r="57" spans="1:23" ht="22.5" customHeight="1" x14ac:dyDescent="0.25">
      <c r="A57" s="290"/>
      <c r="B57" s="142" t="s">
        <v>169</v>
      </c>
      <c r="C57" s="131"/>
      <c r="D57" s="131">
        <v>0.41</v>
      </c>
      <c r="E57" s="186">
        <f>(1/E$52)*177</f>
        <v>0.2048611111111111</v>
      </c>
      <c r="F57" s="209">
        <f>(1/F$52)*13</f>
        <v>0.17808219178082191</v>
      </c>
      <c r="G57" s="157">
        <f>(1/G$52)*42</f>
        <v>0.19718309859154931</v>
      </c>
      <c r="H57" s="157">
        <f>(1/H$52)*57</f>
        <v>0.20955882352941177</v>
      </c>
      <c r="I57" s="210">
        <f>(1/I$52)*61</f>
        <v>0.21403508771929824</v>
      </c>
      <c r="J57" s="201">
        <f>(1/J$52)*133</f>
        <v>0.22542372881355932</v>
      </c>
      <c r="K57" s="157">
        <f>(1/K$52)*48</f>
        <v>0.16608996539792387</v>
      </c>
      <c r="L57" s="157">
        <f>(1/L$52)*48</f>
        <v>0.18604651162790697</v>
      </c>
      <c r="M57" s="186">
        <f>(1/M$52)*39</f>
        <v>0.16810344827586207</v>
      </c>
      <c r="N57" s="209">
        <f>(1/N$52)*114</f>
        <v>0.20070422535211269</v>
      </c>
      <c r="O57" s="157">
        <f>(1/O$52)*54</f>
        <v>0.22594142259414224</v>
      </c>
      <c r="P57" s="210">
        <f>(1/P$52)*7</f>
        <v>0.17948717948717949</v>
      </c>
      <c r="Q57" s="201">
        <f>(1/Q$52)*52</f>
        <v>0.203125</v>
      </c>
      <c r="R57" s="157">
        <f>(1/R$52)*94</f>
        <v>0.22541966426858512</v>
      </c>
    </row>
    <row r="58" spans="1:23" ht="22.5" customHeight="1" x14ac:dyDescent="0.25">
      <c r="A58" s="290"/>
      <c r="B58" s="142" t="s">
        <v>171</v>
      </c>
      <c r="C58" s="131"/>
      <c r="D58" s="131">
        <v>0.24</v>
      </c>
      <c r="E58" s="186">
        <f>(1/E$52)*94</f>
        <v>0.10879629629629629</v>
      </c>
      <c r="F58" s="209">
        <f>(1/F$52)*6</f>
        <v>8.2191780821917804E-2</v>
      </c>
      <c r="G58" s="157">
        <f>(1/G$52)*17</f>
        <v>7.9812206572769953E-2</v>
      </c>
      <c r="H58" s="157">
        <f>(1/H$52)*20</f>
        <v>7.3529411764705885E-2</v>
      </c>
      <c r="I58" s="210">
        <f>(1/I$52)*47</f>
        <v>0.1649122807017544</v>
      </c>
      <c r="J58" s="201">
        <f>(1/J$52)*62</f>
        <v>0.10508474576271186</v>
      </c>
      <c r="K58" s="157">
        <f>(1/K$52)*35</f>
        <v>0.12110726643598617</v>
      </c>
      <c r="L58" s="157">
        <f>(1/L$52)*32</f>
        <v>0.12403100775193798</v>
      </c>
      <c r="M58" s="186">
        <f>(1/M$52)*27</f>
        <v>0.11637931034482758</v>
      </c>
      <c r="N58" s="209">
        <f>(1/N$52)*61</f>
        <v>0.10739436619718309</v>
      </c>
      <c r="O58" s="157">
        <f>(1/O$52)*24</f>
        <v>0.10041841004184099</v>
      </c>
      <c r="P58" s="210">
        <f>(1/P$52)*7</f>
        <v>0.17948717948717949</v>
      </c>
      <c r="Q58" s="201">
        <f>(1/Q$52)*40</f>
        <v>0.15625</v>
      </c>
      <c r="R58" s="157">
        <f>(1/R$52)*32</f>
        <v>7.6738609112709827E-2</v>
      </c>
    </row>
    <row r="59" spans="1:23" ht="11.25" customHeight="1" x14ac:dyDescent="0.25">
      <c r="A59" s="290"/>
      <c r="B59" s="142" t="s">
        <v>121</v>
      </c>
      <c r="C59" s="131">
        <v>0.28999999999999998</v>
      </c>
      <c r="D59" s="131">
        <v>0.28999999999999998</v>
      </c>
      <c r="E59" s="186">
        <f>(1/E$52)*142</f>
        <v>0.16435185185185183</v>
      </c>
      <c r="F59" s="209">
        <f>(1/F$52)*17</f>
        <v>0.23287671232876711</v>
      </c>
      <c r="G59" s="157">
        <f>(1/G$52)*30</f>
        <v>0.14084507042253522</v>
      </c>
      <c r="H59" s="157">
        <f>(1/H$52)*33</f>
        <v>0.12132352941176471</v>
      </c>
      <c r="I59" s="210">
        <f>(1/I$52)*60</f>
        <v>0.2105263157894737</v>
      </c>
      <c r="J59" s="201">
        <f>(1/J$52)*66</f>
        <v>0.11186440677966102</v>
      </c>
      <c r="K59" s="157">
        <f>(1/K$52)*95</f>
        <v>0.32871972318339099</v>
      </c>
      <c r="L59" s="157">
        <f>(1/L$52)*57</f>
        <v>0.22093023255813954</v>
      </c>
      <c r="M59" s="186">
        <f>(1/M$52)*60</f>
        <v>0.25862068965517243</v>
      </c>
      <c r="N59" s="209">
        <f>(1/N$52)*76</f>
        <v>0.13380281690140847</v>
      </c>
      <c r="O59" s="157">
        <f>(1/O$52)*59</f>
        <v>0.24686192468619245</v>
      </c>
      <c r="P59" s="210">
        <f>(1/P$52)*3</f>
        <v>7.6923076923076927E-2</v>
      </c>
      <c r="Q59" s="201">
        <f>(1/Q$52)*47</f>
        <v>0.18359375</v>
      </c>
      <c r="R59" s="157">
        <f>(1/R$52)*60</f>
        <v>0.14388489208633093</v>
      </c>
    </row>
    <row r="60" spans="1:23" ht="11.25" customHeight="1" x14ac:dyDescent="0.25">
      <c r="A60" s="290"/>
      <c r="B60" s="142" t="s">
        <v>122</v>
      </c>
      <c r="C60" s="131">
        <v>0.22</v>
      </c>
      <c r="D60" s="131">
        <v>0.3</v>
      </c>
      <c r="E60" s="186">
        <f>(1/E$52)*154</f>
        <v>0.17824074074074073</v>
      </c>
      <c r="F60" s="209">
        <f>(1/F$52)*17</f>
        <v>0.23287671232876711</v>
      </c>
      <c r="G60" s="157">
        <f>(1/G$52)*38</f>
        <v>0.17840375586854459</v>
      </c>
      <c r="H60" s="157">
        <f>(1/H$52)*57</f>
        <v>0.20955882352941177</v>
      </c>
      <c r="I60" s="210">
        <f>(1/I$52)*40</f>
        <v>0.14035087719298245</v>
      </c>
      <c r="J60" s="201">
        <f>(1/J$52)*121</f>
        <v>0.20508474576271185</v>
      </c>
      <c r="K60" s="157">
        <f>(1/K$52)*25</f>
        <v>8.6505190311418692E-2</v>
      </c>
      <c r="L60" s="157">
        <f>(1/L$52)*29</f>
        <v>0.1124031007751938</v>
      </c>
      <c r="M60" s="186">
        <f>(1/M$52)*26</f>
        <v>0.11206896551724138</v>
      </c>
      <c r="N60" s="209">
        <f>(1/N$52)*116</f>
        <v>0.20422535211267606</v>
      </c>
      <c r="O60" s="157">
        <f>(1/O$52)*31</f>
        <v>0.12970711297071127</v>
      </c>
      <c r="P60" s="210">
        <f>(1/P$52)*6</f>
        <v>0.15384615384615385</v>
      </c>
      <c r="Q60" s="201">
        <f>(1/Q$52)*41</f>
        <v>0.16015625</v>
      </c>
      <c r="R60" s="157">
        <f>(1/R$52)*80</f>
        <v>0.19184652278177455</v>
      </c>
    </row>
    <row r="61" spans="1:23" ht="24.75" customHeight="1" x14ac:dyDescent="0.25">
      <c r="A61" s="290"/>
      <c r="B61" s="142" t="s">
        <v>123</v>
      </c>
      <c r="C61" s="131">
        <v>0.28000000000000003</v>
      </c>
      <c r="D61" s="131">
        <v>0.25</v>
      </c>
      <c r="E61" s="186">
        <f>(1/E$52)*123</f>
        <v>0.1423611111111111</v>
      </c>
      <c r="F61" s="209">
        <f>(1/F$52)*9</f>
        <v>0.12328767123287671</v>
      </c>
      <c r="G61" s="157">
        <f>(1/G$52)*34</f>
        <v>0.15962441314553991</v>
      </c>
      <c r="H61" s="157">
        <f>(1/H$52)*43</f>
        <v>0.15808823529411764</v>
      </c>
      <c r="I61" s="210">
        <f>(1/I$52)*36</f>
        <v>0.12631578947368421</v>
      </c>
      <c r="J61" s="201">
        <f>(1/J$52)*98</f>
        <v>0.16610169491525423</v>
      </c>
      <c r="K61" s="157">
        <f>(1/K$52)*25</f>
        <v>8.6505190311418692E-2</v>
      </c>
      <c r="L61" s="157">
        <f>(1/L$52)*27</f>
        <v>0.10465116279069767</v>
      </c>
      <c r="M61" s="186">
        <f>(1/M$52)*34</f>
        <v>0.14655172413793102</v>
      </c>
      <c r="N61" s="209">
        <f>(1/N$52)*79</f>
        <v>0.13908450704225353</v>
      </c>
      <c r="O61" s="157">
        <f>(1/O$52)*35</f>
        <v>0.14644351464435146</v>
      </c>
      <c r="P61" s="210">
        <f>(1/P$52)*7</f>
        <v>0.17948717948717949</v>
      </c>
      <c r="Q61" s="201">
        <f>(1/Q$52)*31</f>
        <v>0.12109375</v>
      </c>
      <c r="R61" s="157">
        <f>(1/R$52)*60</f>
        <v>0.14388489208633093</v>
      </c>
    </row>
    <row r="62" spans="1:23" s="145" customFormat="1" ht="22.5" customHeight="1" thickBot="1" x14ac:dyDescent="0.3">
      <c r="A62" s="169"/>
      <c r="B62" s="155" t="s">
        <v>124</v>
      </c>
      <c r="C62" s="132">
        <v>0.56999999999999995</v>
      </c>
      <c r="D62" s="132">
        <v>0.53</v>
      </c>
      <c r="E62" s="200">
        <f>(1/E$52)*231</f>
        <v>0.2673611111111111</v>
      </c>
      <c r="F62" s="229">
        <f>(1/F$52)*19</f>
        <v>0.26027397260273971</v>
      </c>
      <c r="G62" s="230">
        <f>(1/G$52)*55</f>
        <v>0.25821596244131456</v>
      </c>
      <c r="H62" s="230">
        <f>(1/H$52)*78</f>
        <v>0.28676470588235292</v>
      </c>
      <c r="I62" s="231">
        <f>(1/I$52)*77</f>
        <v>0.27017543859649124</v>
      </c>
      <c r="J62" s="208">
        <f>(1/J$52)*180</f>
        <v>0.30508474576271183</v>
      </c>
      <c r="K62" s="164">
        <f>(1/K$52)*55</f>
        <v>0.19031141868512111</v>
      </c>
      <c r="L62" s="164">
        <f>(1/L$52)*51</f>
        <v>0.19767441860465115</v>
      </c>
      <c r="M62" s="200">
        <f>(1/M$52)*52</f>
        <v>0.22413793103448276</v>
      </c>
      <c r="N62" s="229">
        <f>(1/N$52)*148</f>
        <v>0.26056338028169013</v>
      </c>
      <c r="O62" s="230">
        <f>(1/O$52)*70</f>
        <v>0.29288702928870292</v>
      </c>
      <c r="P62" s="231">
        <f>(1/P$52)*9</f>
        <v>0.23076923076923075</v>
      </c>
      <c r="Q62" s="208">
        <f>(1/Q$52)*61</f>
        <v>0.23828125</v>
      </c>
      <c r="R62" s="164">
        <f>(1/R$52)*119</f>
        <v>0.28537170263788969</v>
      </c>
      <c r="S62" s="274"/>
      <c r="T62" s="274"/>
      <c r="U62" s="274"/>
      <c r="V62" s="274"/>
      <c r="W62" s="274"/>
    </row>
    <row r="63" spans="1:23" s="145" customFormat="1" x14ac:dyDescent="0.25">
      <c r="A63" s="143"/>
      <c r="B63" s="144"/>
      <c r="C63" s="133"/>
      <c r="D63" s="133"/>
      <c r="E63" s="166"/>
      <c r="F63" s="275"/>
      <c r="G63" s="275"/>
      <c r="H63" s="275"/>
      <c r="I63" s="276"/>
      <c r="J63" s="276"/>
      <c r="K63" s="276"/>
      <c r="L63" s="276"/>
      <c r="M63" s="276"/>
      <c r="N63" s="277"/>
      <c r="O63" s="277"/>
      <c r="P63" s="277"/>
      <c r="Q63" s="278"/>
      <c r="R63" s="278"/>
      <c r="S63" s="274"/>
      <c r="T63" s="274"/>
      <c r="U63" s="274"/>
      <c r="V63" s="274"/>
      <c r="W63" s="274"/>
    </row>
    <row r="64" spans="1:23" s="145" customFormat="1" x14ac:dyDescent="0.25">
      <c r="A64" s="143"/>
      <c r="B64" s="144"/>
      <c r="C64" s="133"/>
      <c r="D64" s="133"/>
      <c r="E64" s="166"/>
      <c r="F64" s="275"/>
      <c r="G64" s="275"/>
      <c r="H64" s="275"/>
      <c r="I64" s="276"/>
      <c r="J64" s="276"/>
      <c r="K64" s="276"/>
      <c r="L64" s="276"/>
      <c r="M64" s="276"/>
      <c r="N64" s="277"/>
      <c r="O64" s="277"/>
      <c r="P64" s="277"/>
      <c r="Q64" s="278"/>
      <c r="R64" s="278"/>
      <c r="S64" s="274"/>
      <c r="T64" s="274"/>
      <c r="U64" s="274"/>
      <c r="V64" s="274"/>
      <c r="W64" s="274"/>
    </row>
    <row r="65" spans="1:23" s="145" customFormat="1" x14ac:dyDescent="0.25">
      <c r="A65" s="143"/>
      <c r="B65" s="144"/>
      <c r="C65" s="133"/>
      <c r="D65" s="133"/>
      <c r="E65" s="166"/>
      <c r="F65" s="275"/>
      <c r="G65" s="275"/>
      <c r="H65" s="275"/>
      <c r="I65" s="276"/>
      <c r="J65" s="276"/>
      <c r="K65" s="276"/>
      <c r="L65" s="276"/>
      <c r="M65" s="276"/>
      <c r="N65" s="277"/>
      <c r="O65" s="277"/>
      <c r="P65" s="277"/>
      <c r="Q65" s="278"/>
      <c r="R65" s="278"/>
      <c r="S65" s="274"/>
      <c r="T65" s="274"/>
      <c r="U65" s="274"/>
      <c r="V65" s="274"/>
      <c r="W65" s="274"/>
    </row>
    <row r="66" spans="1:23" s="145" customFormat="1" x14ac:dyDescent="0.25">
      <c r="A66" s="143"/>
      <c r="B66" s="144"/>
      <c r="C66" s="133"/>
      <c r="D66" s="133"/>
      <c r="E66" s="166"/>
      <c r="F66" s="275"/>
      <c r="G66" s="275"/>
      <c r="H66" s="275"/>
      <c r="I66" s="276"/>
      <c r="J66" s="276"/>
      <c r="K66" s="276"/>
      <c r="L66" s="276"/>
      <c r="M66" s="276"/>
      <c r="N66" s="277"/>
      <c r="O66" s="277"/>
      <c r="P66" s="277"/>
      <c r="Q66" s="278"/>
      <c r="R66" s="278"/>
      <c r="S66" s="274"/>
      <c r="T66" s="274"/>
      <c r="U66" s="274"/>
      <c r="V66" s="274"/>
      <c r="W66" s="274"/>
    </row>
    <row r="67" spans="1:23" s="145" customFormat="1" x14ac:dyDescent="0.25">
      <c r="A67" s="143"/>
      <c r="B67" s="144"/>
      <c r="C67" s="133"/>
      <c r="D67" s="133"/>
      <c r="E67" s="166"/>
      <c r="F67" s="275"/>
      <c r="G67" s="275"/>
      <c r="H67" s="275"/>
      <c r="I67" s="276"/>
      <c r="J67" s="276"/>
      <c r="K67" s="276"/>
      <c r="L67" s="276"/>
      <c r="M67" s="276"/>
      <c r="N67" s="277"/>
      <c r="O67" s="277"/>
      <c r="P67" s="277"/>
      <c r="Q67" s="278"/>
      <c r="R67" s="278"/>
      <c r="S67" s="274"/>
      <c r="T67" s="274"/>
      <c r="U67" s="274"/>
      <c r="V67" s="274"/>
      <c r="W67" s="274"/>
    </row>
    <row r="68" spans="1:23" x14ac:dyDescent="0.25">
      <c r="B68" s="144"/>
      <c r="C68" s="133"/>
      <c r="I68" s="276"/>
      <c r="J68" s="276"/>
      <c r="K68" s="276"/>
      <c r="L68" s="276"/>
      <c r="M68" s="276"/>
      <c r="N68" s="277"/>
      <c r="O68" s="277"/>
      <c r="P68" s="277"/>
    </row>
    <row r="69" spans="1:23" x14ac:dyDescent="0.25">
      <c r="B69" s="144"/>
      <c r="C69" s="133"/>
      <c r="I69" s="276"/>
      <c r="J69" s="276"/>
      <c r="K69" s="276"/>
      <c r="L69" s="276"/>
      <c r="M69" s="276"/>
      <c r="N69" s="277"/>
      <c r="O69" s="277"/>
      <c r="P69" s="277"/>
    </row>
    <row r="70" spans="1:23" x14ac:dyDescent="0.25">
      <c r="B70" s="144"/>
      <c r="C70" s="133"/>
      <c r="I70" s="276"/>
      <c r="J70" s="276"/>
      <c r="K70" s="276"/>
      <c r="L70" s="276"/>
      <c r="M70" s="276"/>
      <c r="N70" s="277"/>
      <c r="O70" s="277"/>
      <c r="P70" s="277"/>
    </row>
    <row r="71" spans="1:23" x14ac:dyDescent="0.25">
      <c r="B71" s="144"/>
      <c r="C71" s="133"/>
      <c r="I71" s="276"/>
      <c r="J71" s="276"/>
      <c r="K71" s="276"/>
      <c r="L71" s="276"/>
      <c r="M71" s="276"/>
      <c r="N71" s="277"/>
      <c r="O71" s="277"/>
      <c r="P71" s="277"/>
    </row>
    <row r="72" spans="1:23" x14ac:dyDescent="0.25">
      <c r="B72" s="144"/>
      <c r="C72" s="133"/>
      <c r="I72" s="276"/>
      <c r="J72" s="276"/>
      <c r="K72" s="276"/>
      <c r="L72" s="276"/>
      <c r="M72" s="276"/>
      <c r="N72" s="277"/>
      <c r="O72" s="277"/>
      <c r="P72" s="277"/>
    </row>
    <row r="73" spans="1:23" x14ac:dyDescent="0.25">
      <c r="B73" s="144"/>
      <c r="C73" s="133"/>
      <c r="I73" s="276"/>
      <c r="J73" s="276"/>
      <c r="K73" s="276"/>
      <c r="L73" s="276"/>
      <c r="M73" s="276"/>
      <c r="N73" s="277"/>
      <c r="O73" s="277"/>
      <c r="P73" s="277"/>
    </row>
    <row r="74" spans="1:23" x14ac:dyDescent="0.25">
      <c r="B74" s="144"/>
      <c r="C74" s="133"/>
      <c r="I74" s="276"/>
      <c r="J74" s="276"/>
      <c r="K74" s="276"/>
      <c r="L74" s="276"/>
      <c r="M74" s="276"/>
      <c r="N74" s="277"/>
      <c r="O74" s="277"/>
      <c r="P74" s="277"/>
    </row>
    <row r="75" spans="1:23" x14ac:dyDescent="0.25">
      <c r="B75" s="144"/>
      <c r="C75" s="133"/>
      <c r="I75" s="276"/>
      <c r="J75" s="276"/>
      <c r="K75" s="276"/>
      <c r="L75" s="276"/>
      <c r="M75" s="276"/>
      <c r="N75" s="277"/>
      <c r="O75" s="277"/>
      <c r="P75" s="277"/>
    </row>
    <row r="76" spans="1:23" x14ac:dyDescent="0.25">
      <c r="B76" s="144"/>
      <c r="C76" s="133"/>
      <c r="I76" s="276"/>
      <c r="J76" s="276"/>
      <c r="K76" s="276"/>
      <c r="L76" s="276"/>
      <c r="M76" s="276"/>
      <c r="N76" s="277"/>
      <c r="O76" s="277"/>
      <c r="P76" s="277"/>
    </row>
    <row r="77" spans="1:23" x14ac:dyDescent="0.25">
      <c r="B77" s="144"/>
      <c r="C77" s="133"/>
      <c r="I77" s="276"/>
      <c r="J77" s="276"/>
      <c r="K77" s="276"/>
      <c r="L77" s="276"/>
      <c r="M77" s="276"/>
      <c r="N77" s="277"/>
      <c r="O77" s="277"/>
      <c r="P77" s="277"/>
    </row>
    <row r="78" spans="1:23" x14ac:dyDescent="0.25">
      <c r="B78" s="144"/>
      <c r="C78" s="133"/>
      <c r="I78" s="276"/>
      <c r="J78" s="276"/>
      <c r="K78" s="276"/>
      <c r="L78" s="276"/>
      <c r="M78" s="276"/>
      <c r="N78" s="277"/>
      <c r="O78" s="277"/>
      <c r="P78" s="277"/>
    </row>
    <row r="79" spans="1:23" x14ac:dyDescent="0.25">
      <c r="B79" s="144"/>
      <c r="C79" s="133"/>
      <c r="I79" s="276"/>
      <c r="J79" s="276"/>
      <c r="K79" s="276"/>
      <c r="L79" s="276"/>
      <c r="M79" s="276"/>
      <c r="N79" s="277"/>
      <c r="O79" s="277"/>
      <c r="P79" s="277"/>
    </row>
    <row r="80" spans="1:23" x14ac:dyDescent="0.25">
      <c r="B80" s="144"/>
      <c r="C80" s="133"/>
      <c r="I80" s="276"/>
      <c r="J80" s="276"/>
      <c r="K80" s="276"/>
      <c r="L80" s="276"/>
      <c r="M80" s="276"/>
      <c r="N80" s="277"/>
      <c r="O80" s="277"/>
      <c r="P80" s="277"/>
    </row>
    <row r="81" spans="2:16" x14ac:dyDescent="0.25">
      <c r="B81" s="144"/>
      <c r="C81" s="133"/>
      <c r="I81" s="276"/>
      <c r="J81" s="276"/>
      <c r="K81" s="276"/>
      <c r="L81" s="276"/>
      <c r="M81" s="276"/>
      <c r="N81" s="277"/>
      <c r="O81" s="277"/>
      <c r="P81" s="277"/>
    </row>
    <row r="82" spans="2:16" x14ac:dyDescent="0.25">
      <c r="B82" s="144"/>
      <c r="C82" s="133"/>
      <c r="I82" s="276"/>
      <c r="J82" s="276"/>
      <c r="K82" s="276"/>
      <c r="L82" s="276"/>
      <c r="M82" s="276"/>
      <c r="N82" s="277"/>
      <c r="O82" s="277"/>
      <c r="P82" s="277"/>
    </row>
    <row r="83" spans="2:16" x14ac:dyDescent="0.25">
      <c r="B83" s="144"/>
      <c r="C83" s="133"/>
      <c r="I83" s="276"/>
      <c r="J83" s="276"/>
      <c r="K83" s="276"/>
      <c r="L83" s="276"/>
      <c r="M83" s="276"/>
      <c r="N83" s="277"/>
      <c r="O83" s="277"/>
      <c r="P83" s="277"/>
    </row>
    <row r="84" spans="2:16" x14ac:dyDescent="0.25">
      <c r="B84" s="144"/>
      <c r="C84" s="133"/>
      <c r="I84" s="276"/>
      <c r="J84" s="276"/>
      <c r="K84" s="276"/>
      <c r="L84" s="276"/>
      <c r="M84" s="276"/>
      <c r="N84" s="277"/>
      <c r="O84" s="277"/>
      <c r="P84" s="277"/>
    </row>
    <row r="85" spans="2:16" x14ac:dyDescent="0.25">
      <c r="B85" s="144"/>
      <c r="C85" s="133"/>
      <c r="I85" s="276"/>
      <c r="J85" s="276"/>
      <c r="K85" s="276"/>
      <c r="L85" s="276"/>
      <c r="M85" s="276"/>
      <c r="N85" s="277"/>
      <c r="O85" s="277"/>
      <c r="P85" s="277"/>
    </row>
    <row r="86" spans="2:16" x14ac:dyDescent="0.25">
      <c r="B86" s="144"/>
      <c r="C86" s="133"/>
      <c r="I86" s="276"/>
      <c r="J86" s="276"/>
      <c r="K86" s="276"/>
      <c r="L86" s="276"/>
      <c r="M86" s="276"/>
      <c r="N86" s="277"/>
      <c r="O86" s="277"/>
      <c r="P86" s="277"/>
    </row>
    <row r="87" spans="2:16" x14ac:dyDescent="0.25">
      <c r="B87" s="144"/>
      <c r="C87" s="133"/>
      <c r="I87" s="276"/>
      <c r="J87" s="276"/>
      <c r="K87" s="276"/>
      <c r="L87" s="276"/>
      <c r="M87" s="276"/>
      <c r="N87" s="277"/>
      <c r="O87" s="277"/>
      <c r="P87" s="277"/>
    </row>
    <row r="88" spans="2:16" x14ac:dyDescent="0.25">
      <c r="B88" s="144"/>
      <c r="C88" s="133"/>
      <c r="I88" s="276"/>
      <c r="J88" s="276"/>
      <c r="K88" s="276"/>
      <c r="L88" s="276"/>
      <c r="M88" s="276"/>
      <c r="N88" s="277"/>
      <c r="O88" s="277"/>
      <c r="P88" s="277"/>
    </row>
    <row r="89" spans="2:16" x14ac:dyDescent="0.25">
      <c r="B89" s="144"/>
      <c r="C89" s="133"/>
      <c r="I89" s="276"/>
      <c r="J89" s="276"/>
      <c r="K89" s="276"/>
      <c r="L89" s="276"/>
      <c r="M89" s="276"/>
      <c r="N89" s="277"/>
      <c r="O89" s="277"/>
      <c r="P89" s="277"/>
    </row>
    <row r="90" spans="2:16" x14ac:dyDescent="0.25">
      <c r="B90" s="144"/>
      <c r="C90" s="133"/>
      <c r="I90" s="276"/>
      <c r="J90" s="276"/>
      <c r="K90" s="276"/>
      <c r="L90" s="276"/>
      <c r="M90" s="276"/>
      <c r="N90" s="277"/>
      <c r="O90" s="277"/>
      <c r="P90" s="277"/>
    </row>
    <row r="91" spans="2:16" x14ac:dyDescent="0.25">
      <c r="B91" s="144"/>
      <c r="C91" s="133"/>
      <c r="I91" s="276"/>
      <c r="J91" s="276"/>
      <c r="K91" s="276"/>
      <c r="L91" s="276"/>
      <c r="M91" s="276"/>
      <c r="N91" s="277"/>
      <c r="O91" s="277"/>
      <c r="P91" s="277"/>
    </row>
    <row r="92" spans="2:16" x14ac:dyDescent="0.25">
      <c r="B92" s="144"/>
      <c r="C92" s="133"/>
      <c r="I92" s="276"/>
      <c r="J92" s="276"/>
      <c r="K92" s="276"/>
      <c r="L92" s="276"/>
      <c r="M92" s="276"/>
      <c r="N92" s="277"/>
      <c r="O92" s="277"/>
      <c r="P92" s="277"/>
    </row>
    <row r="93" spans="2:16" x14ac:dyDescent="0.25">
      <c r="B93" s="144"/>
      <c r="C93" s="133"/>
      <c r="I93" s="276"/>
      <c r="J93" s="276"/>
      <c r="K93" s="276"/>
      <c r="L93" s="276"/>
      <c r="M93" s="276"/>
      <c r="N93" s="277"/>
      <c r="O93" s="277"/>
      <c r="P93" s="277"/>
    </row>
    <row r="94" spans="2:16" x14ac:dyDescent="0.25">
      <c r="B94" s="144"/>
      <c r="C94" s="133"/>
      <c r="I94" s="276"/>
      <c r="J94" s="276"/>
      <c r="K94" s="276"/>
      <c r="L94" s="276"/>
      <c r="M94" s="276"/>
      <c r="N94" s="277"/>
      <c r="O94" s="277"/>
      <c r="P94" s="277"/>
    </row>
    <row r="95" spans="2:16" x14ac:dyDescent="0.25">
      <c r="B95" s="144"/>
      <c r="C95" s="133"/>
      <c r="I95" s="276"/>
      <c r="J95" s="276"/>
      <c r="K95" s="276"/>
      <c r="L95" s="276"/>
      <c r="M95" s="276"/>
      <c r="N95" s="277"/>
      <c r="O95" s="277"/>
      <c r="P95" s="277"/>
    </row>
    <row r="96" spans="2:16" x14ac:dyDescent="0.25">
      <c r="B96" s="144"/>
      <c r="C96" s="133"/>
      <c r="I96" s="276"/>
      <c r="J96" s="276"/>
      <c r="K96" s="276"/>
      <c r="L96" s="276"/>
      <c r="M96" s="276"/>
      <c r="N96" s="277"/>
      <c r="O96" s="277"/>
      <c r="P96" s="277"/>
    </row>
    <row r="97" spans="2:16" x14ac:dyDescent="0.25">
      <c r="B97" s="144"/>
      <c r="C97" s="133"/>
      <c r="I97" s="276"/>
      <c r="J97" s="276"/>
      <c r="K97" s="276"/>
      <c r="L97" s="276"/>
      <c r="M97" s="276"/>
      <c r="N97" s="277"/>
      <c r="O97" s="277"/>
      <c r="P97" s="277"/>
    </row>
    <row r="98" spans="2:16" x14ac:dyDescent="0.25">
      <c r="B98" s="144"/>
      <c r="C98" s="133"/>
      <c r="I98" s="276"/>
      <c r="J98" s="276"/>
      <c r="K98" s="276"/>
      <c r="L98" s="276"/>
      <c r="M98" s="276"/>
      <c r="N98" s="277"/>
      <c r="O98" s="277"/>
      <c r="P98" s="277"/>
    </row>
    <row r="99" spans="2:16" x14ac:dyDescent="0.25">
      <c r="B99" s="144"/>
      <c r="C99" s="133"/>
      <c r="I99" s="276"/>
      <c r="J99" s="276"/>
      <c r="K99" s="276"/>
      <c r="L99" s="276"/>
      <c r="M99" s="276"/>
      <c r="N99" s="277"/>
      <c r="O99" s="277"/>
      <c r="P99" s="277"/>
    </row>
    <row r="100" spans="2:16" x14ac:dyDescent="0.25">
      <c r="B100" s="144"/>
      <c r="C100" s="133"/>
      <c r="I100" s="276"/>
      <c r="J100" s="276"/>
      <c r="K100" s="276"/>
      <c r="L100" s="276"/>
      <c r="M100" s="276"/>
      <c r="N100" s="277"/>
      <c r="O100" s="277"/>
      <c r="P100" s="277"/>
    </row>
    <row r="101" spans="2:16" x14ac:dyDescent="0.25">
      <c r="B101" s="144"/>
      <c r="C101" s="133"/>
      <c r="I101" s="276"/>
      <c r="J101" s="276"/>
      <c r="K101" s="276"/>
      <c r="L101" s="276"/>
      <c r="M101" s="276"/>
      <c r="N101" s="277"/>
      <c r="O101" s="277"/>
      <c r="P101" s="277"/>
    </row>
    <row r="102" spans="2:16" x14ac:dyDescent="0.25">
      <c r="B102" s="144"/>
      <c r="C102" s="133"/>
      <c r="I102" s="276"/>
      <c r="J102" s="276"/>
      <c r="K102" s="276"/>
      <c r="L102" s="276"/>
      <c r="M102" s="276"/>
      <c r="N102" s="277"/>
      <c r="O102" s="277"/>
      <c r="P102" s="277"/>
    </row>
    <row r="103" spans="2:16" x14ac:dyDescent="0.25">
      <c r="B103" s="144"/>
      <c r="C103" s="133"/>
      <c r="I103" s="276"/>
      <c r="J103" s="276"/>
      <c r="K103" s="276"/>
      <c r="L103" s="276"/>
      <c r="M103" s="276"/>
      <c r="N103" s="277"/>
      <c r="O103" s="277"/>
      <c r="P103" s="277"/>
    </row>
    <row r="104" spans="2:16" x14ac:dyDescent="0.25">
      <c r="B104" s="144"/>
      <c r="C104" s="133"/>
      <c r="I104" s="276"/>
      <c r="J104" s="276"/>
      <c r="K104" s="276"/>
      <c r="L104" s="276"/>
      <c r="M104" s="276"/>
      <c r="N104" s="277"/>
      <c r="O104" s="277"/>
      <c r="P104" s="277"/>
    </row>
    <row r="105" spans="2:16" x14ac:dyDescent="0.25">
      <c r="B105" s="144"/>
      <c r="C105" s="133"/>
      <c r="I105" s="276"/>
      <c r="J105" s="276"/>
      <c r="K105" s="276"/>
      <c r="L105" s="276"/>
      <c r="M105" s="276"/>
      <c r="N105" s="277"/>
      <c r="O105" s="277"/>
      <c r="P105" s="277"/>
    </row>
    <row r="106" spans="2:16" x14ac:dyDescent="0.25">
      <c r="B106" s="144"/>
      <c r="C106" s="133"/>
      <c r="I106" s="276"/>
      <c r="J106" s="276"/>
      <c r="K106" s="276"/>
      <c r="L106" s="276"/>
      <c r="M106" s="276"/>
      <c r="N106" s="277"/>
      <c r="O106" s="277"/>
      <c r="P106" s="277"/>
    </row>
    <row r="107" spans="2:16" x14ac:dyDescent="0.25">
      <c r="B107" s="144"/>
      <c r="C107" s="133"/>
      <c r="I107" s="276"/>
      <c r="J107" s="276"/>
      <c r="K107" s="276"/>
      <c r="L107" s="276"/>
      <c r="M107" s="276"/>
      <c r="N107" s="277"/>
      <c r="O107" s="277"/>
      <c r="P107" s="277"/>
    </row>
    <row r="108" spans="2:16" x14ac:dyDescent="0.25">
      <c r="B108" s="144"/>
      <c r="C108" s="133"/>
      <c r="I108" s="276"/>
      <c r="J108" s="276"/>
      <c r="K108" s="276"/>
      <c r="L108" s="276"/>
      <c r="M108" s="276"/>
      <c r="N108" s="277"/>
      <c r="O108" s="277"/>
      <c r="P108" s="277"/>
    </row>
    <row r="109" spans="2:16" x14ac:dyDescent="0.25">
      <c r="B109" s="144"/>
      <c r="C109" s="133"/>
      <c r="I109" s="276"/>
      <c r="J109" s="276"/>
      <c r="K109" s="276"/>
      <c r="L109" s="276"/>
      <c r="M109" s="276"/>
      <c r="N109" s="277"/>
      <c r="O109" s="277"/>
      <c r="P109" s="277"/>
    </row>
    <row r="110" spans="2:16" x14ac:dyDescent="0.25">
      <c r="B110" s="144"/>
      <c r="C110" s="133"/>
      <c r="I110" s="276"/>
      <c r="J110" s="276"/>
      <c r="K110" s="276"/>
      <c r="L110" s="276"/>
      <c r="M110" s="276"/>
      <c r="N110" s="277"/>
      <c r="O110" s="277"/>
      <c r="P110" s="277"/>
    </row>
    <row r="111" spans="2:16" x14ac:dyDescent="0.25">
      <c r="B111" s="144"/>
      <c r="C111" s="133"/>
      <c r="I111" s="276"/>
      <c r="J111" s="276"/>
      <c r="K111" s="276"/>
      <c r="L111" s="276"/>
      <c r="M111" s="276"/>
      <c r="N111" s="277"/>
      <c r="O111" s="277"/>
      <c r="P111" s="277"/>
    </row>
    <row r="112" spans="2:16" x14ac:dyDescent="0.25">
      <c r="B112" s="144"/>
      <c r="C112" s="133"/>
      <c r="I112" s="276"/>
      <c r="J112" s="276"/>
      <c r="K112" s="276"/>
      <c r="L112" s="276"/>
      <c r="M112" s="276"/>
      <c r="N112" s="277"/>
      <c r="O112" s="277"/>
      <c r="P112" s="277"/>
    </row>
    <row r="113" spans="2:16" x14ac:dyDescent="0.25">
      <c r="B113" s="144"/>
      <c r="C113" s="133"/>
      <c r="I113" s="276"/>
      <c r="J113" s="276"/>
      <c r="K113" s="276"/>
      <c r="L113" s="276"/>
      <c r="M113" s="276"/>
      <c r="N113" s="277"/>
      <c r="O113" s="277"/>
      <c r="P113" s="277"/>
    </row>
    <row r="114" spans="2:16" x14ac:dyDescent="0.25">
      <c r="B114" s="144"/>
      <c r="C114" s="133"/>
      <c r="I114" s="276"/>
      <c r="J114" s="276"/>
      <c r="K114" s="276"/>
      <c r="L114" s="276"/>
      <c r="M114" s="276"/>
      <c r="N114" s="277"/>
      <c r="O114" s="277"/>
      <c r="P114" s="277"/>
    </row>
    <row r="115" spans="2:16" x14ac:dyDescent="0.25">
      <c r="B115" s="144"/>
      <c r="C115" s="133"/>
      <c r="I115" s="276"/>
      <c r="J115" s="276"/>
      <c r="K115" s="276"/>
      <c r="L115" s="276"/>
      <c r="M115" s="276"/>
      <c r="N115" s="277"/>
      <c r="O115" s="277"/>
      <c r="P115" s="277"/>
    </row>
    <row r="116" spans="2:16" x14ac:dyDescent="0.25">
      <c r="B116" s="144"/>
      <c r="C116" s="133"/>
      <c r="I116" s="276"/>
      <c r="J116" s="276"/>
      <c r="K116" s="276"/>
      <c r="L116" s="276"/>
      <c r="M116" s="276"/>
      <c r="N116" s="277"/>
      <c r="O116" s="277"/>
      <c r="P116" s="277"/>
    </row>
    <row r="117" spans="2:16" x14ac:dyDescent="0.25">
      <c r="B117" s="144"/>
      <c r="C117" s="133"/>
      <c r="I117" s="276"/>
      <c r="J117" s="276"/>
      <c r="K117" s="276"/>
      <c r="L117" s="276"/>
      <c r="M117" s="276"/>
      <c r="N117" s="277"/>
      <c r="O117" s="277"/>
      <c r="P117" s="277"/>
    </row>
    <row r="118" spans="2:16" x14ac:dyDescent="0.25">
      <c r="B118" s="144"/>
      <c r="C118" s="133"/>
      <c r="I118" s="276"/>
      <c r="J118" s="276"/>
      <c r="K118" s="276"/>
      <c r="L118" s="276"/>
      <c r="M118" s="276"/>
      <c r="N118" s="277"/>
      <c r="O118" s="277"/>
      <c r="P118" s="277"/>
    </row>
    <row r="119" spans="2:16" x14ac:dyDescent="0.25">
      <c r="B119" s="144"/>
      <c r="C119" s="133"/>
      <c r="I119" s="276"/>
      <c r="J119" s="276"/>
      <c r="K119" s="276"/>
      <c r="L119" s="276"/>
      <c r="M119" s="276"/>
      <c r="N119" s="277"/>
      <c r="O119" s="277"/>
      <c r="P119" s="277"/>
    </row>
    <row r="120" spans="2:16" x14ac:dyDescent="0.25">
      <c r="B120" s="144"/>
      <c r="C120" s="133"/>
      <c r="I120" s="276"/>
      <c r="J120" s="276"/>
      <c r="K120" s="276"/>
      <c r="L120" s="276"/>
      <c r="M120" s="276"/>
      <c r="N120" s="277"/>
      <c r="O120" s="277"/>
      <c r="P120" s="277"/>
    </row>
    <row r="121" spans="2:16" x14ac:dyDescent="0.25">
      <c r="B121" s="144"/>
      <c r="C121" s="133"/>
      <c r="I121" s="276"/>
      <c r="J121" s="276"/>
      <c r="K121" s="276"/>
      <c r="L121" s="276"/>
      <c r="M121" s="276"/>
      <c r="N121" s="277"/>
      <c r="O121" s="277"/>
      <c r="P121" s="277"/>
    </row>
    <row r="122" spans="2:16" x14ac:dyDescent="0.25">
      <c r="B122" s="144"/>
      <c r="C122" s="133"/>
      <c r="I122" s="276"/>
      <c r="J122" s="276"/>
      <c r="K122" s="276"/>
      <c r="L122" s="276"/>
      <c r="M122" s="276"/>
      <c r="N122" s="277"/>
      <c r="O122" s="277"/>
      <c r="P122" s="277"/>
    </row>
    <row r="123" spans="2:16" x14ac:dyDescent="0.25">
      <c r="B123" s="144"/>
      <c r="C123" s="133"/>
      <c r="I123" s="276"/>
      <c r="J123" s="276"/>
      <c r="K123" s="276"/>
      <c r="L123" s="276"/>
      <c r="M123" s="276"/>
      <c r="N123" s="277"/>
      <c r="O123" s="277"/>
      <c r="P123" s="277"/>
    </row>
    <row r="124" spans="2:16" x14ac:dyDescent="0.25">
      <c r="B124" s="144"/>
      <c r="C124" s="133"/>
      <c r="I124" s="276"/>
      <c r="J124" s="276"/>
      <c r="K124" s="276"/>
      <c r="L124" s="276"/>
      <c r="M124" s="276"/>
      <c r="N124" s="277"/>
      <c r="O124" s="277"/>
      <c r="P124" s="277"/>
    </row>
    <row r="125" spans="2:16" x14ac:dyDescent="0.25">
      <c r="B125" s="144"/>
      <c r="C125" s="133"/>
      <c r="I125" s="276"/>
      <c r="J125" s="276"/>
      <c r="K125" s="276"/>
      <c r="L125" s="276"/>
      <c r="M125" s="276"/>
      <c r="N125" s="277"/>
      <c r="O125" s="277"/>
      <c r="P125" s="277"/>
    </row>
    <row r="126" spans="2:16" x14ac:dyDescent="0.25">
      <c r="B126" s="144"/>
      <c r="C126" s="133"/>
      <c r="I126" s="276"/>
      <c r="J126" s="276"/>
      <c r="K126" s="276"/>
      <c r="L126" s="276"/>
      <c r="M126" s="276"/>
      <c r="N126" s="277"/>
      <c r="O126" s="277"/>
      <c r="P126" s="277"/>
    </row>
    <row r="127" spans="2:16" x14ac:dyDescent="0.25">
      <c r="B127" s="144"/>
      <c r="C127" s="133"/>
      <c r="I127" s="276"/>
      <c r="J127" s="276"/>
      <c r="K127" s="276"/>
      <c r="L127" s="276"/>
      <c r="M127" s="276"/>
      <c r="N127" s="277"/>
      <c r="O127" s="277"/>
      <c r="P127" s="277"/>
    </row>
    <row r="128" spans="2:16" x14ac:dyDescent="0.25">
      <c r="B128" s="144"/>
      <c r="C128" s="133"/>
      <c r="I128" s="276"/>
      <c r="J128" s="276"/>
      <c r="K128" s="276"/>
      <c r="L128" s="276"/>
      <c r="M128" s="276"/>
      <c r="N128" s="277"/>
      <c r="O128" s="277"/>
      <c r="P128" s="277"/>
    </row>
    <row r="129" spans="2:16" x14ac:dyDescent="0.25">
      <c r="B129" s="144"/>
      <c r="C129" s="133"/>
      <c r="I129" s="276"/>
      <c r="J129" s="276"/>
      <c r="K129" s="276"/>
      <c r="L129" s="276"/>
      <c r="M129" s="276"/>
      <c r="N129" s="277"/>
      <c r="O129" s="277"/>
      <c r="P129" s="277"/>
    </row>
    <row r="130" spans="2:16" x14ac:dyDescent="0.25">
      <c r="B130" s="144"/>
      <c r="C130" s="133"/>
      <c r="I130" s="276"/>
      <c r="J130" s="276"/>
      <c r="K130" s="276"/>
      <c r="L130" s="276"/>
      <c r="M130" s="276"/>
      <c r="N130" s="277"/>
      <c r="O130" s="277"/>
      <c r="P130" s="277"/>
    </row>
    <row r="131" spans="2:16" x14ac:dyDescent="0.25">
      <c r="B131" s="144"/>
      <c r="C131" s="133"/>
      <c r="I131" s="276"/>
      <c r="J131" s="276"/>
      <c r="K131" s="276"/>
      <c r="L131" s="276"/>
      <c r="M131" s="276"/>
      <c r="N131" s="277"/>
      <c r="O131" s="277"/>
      <c r="P131" s="277"/>
    </row>
    <row r="132" spans="2:16" x14ac:dyDescent="0.25">
      <c r="B132" s="144"/>
      <c r="C132" s="133"/>
      <c r="I132" s="276"/>
      <c r="J132" s="276"/>
      <c r="K132" s="276"/>
      <c r="L132" s="276"/>
      <c r="M132" s="276"/>
      <c r="N132" s="277"/>
      <c r="O132" s="277"/>
      <c r="P132" s="277"/>
    </row>
    <row r="133" spans="2:16" x14ac:dyDescent="0.25">
      <c r="B133" s="144"/>
      <c r="C133" s="133"/>
      <c r="I133" s="276"/>
      <c r="J133" s="276"/>
      <c r="K133" s="276"/>
      <c r="L133" s="276"/>
      <c r="M133" s="276"/>
      <c r="N133" s="277"/>
      <c r="O133" s="277"/>
      <c r="P133" s="277"/>
    </row>
    <row r="134" spans="2:16" x14ac:dyDescent="0.25">
      <c r="B134" s="144"/>
      <c r="C134" s="133"/>
      <c r="I134" s="276"/>
      <c r="J134" s="276"/>
      <c r="K134" s="276"/>
      <c r="L134" s="276"/>
      <c r="M134" s="276"/>
      <c r="N134" s="277"/>
      <c r="O134" s="277"/>
      <c r="P134" s="277"/>
    </row>
    <row r="135" spans="2:16" x14ac:dyDescent="0.25">
      <c r="B135" s="144"/>
      <c r="C135" s="133"/>
      <c r="I135" s="276"/>
      <c r="J135" s="276"/>
      <c r="K135" s="276"/>
      <c r="L135" s="276"/>
      <c r="M135" s="276"/>
      <c r="N135" s="277"/>
      <c r="O135" s="277"/>
      <c r="P135" s="277"/>
    </row>
    <row r="136" spans="2:16" x14ac:dyDescent="0.25">
      <c r="B136" s="144"/>
      <c r="C136" s="133"/>
      <c r="I136" s="276"/>
      <c r="J136" s="276"/>
      <c r="K136" s="276"/>
      <c r="L136" s="276"/>
      <c r="M136" s="276"/>
      <c r="N136" s="277"/>
      <c r="O136" s="277"/>
      <c r="P136" s="277"/>
    </row>
    <row r="137" spans="2:16" x14ac:dyDescent="0.25">
      <c r="B137" s="144"/>
      <c r="C137" s="133"/>
      <c r="I137" s="276"/>
      <c r="J137" s="276"/>
      <c r="K137" s="276"/>
      <c r="L137" s="276"/>
      <c r="M137" s="276"/>
      <c r="N137" s="277"/>
      <c r="O137" s="277"/>
      <c r="P137" s="277"/>
    </row>
    <row r="138" spans="2:16" x14ac:dyDescent="0.25">
      <c r="B138" s="144"/>
      <c r="C138" s="133"/>
      <c r="I138" s="276"/>
      <c r="J138" s="276"/>
      <c r="K138" s="276"/>
      <c r="L138" s="276"/>
      <c r="M138" s="276"/>
      <c r="N138" s="277"/>
      <c r="O138" s="277"/>
      <c r="P138" s="277"/>
    </row>
    <row r="139" spans="2:16" x14ac:dyDescent="0.25">
      <c r="B139" s="144"/>
      <c r="C139" s="133"/>
      <c r="I139" s="276"/>
      <c r="J139" s="276"/>
      <c r="K139" s="276"/>
      <c r="L139" s="276"/>
      <c r="M139" s="276"/>
      <c r="N139" s="277"/>
      <c r="O139" s="277"/>
      <c r="P139" s="277"/>
    </row>
    <row r="140" spans="2:16" x14ac:dyDescent="0.25">
      <c r="B140" s="144"/>
      <c r="C140" s="133"/>
      <c r="I140" s="276"/>
      <c r="J140" s="276"/>
      <c r="K140" s="276"/>
      <c r="L140" s="276"/>
      <c r="M140" s="276"/>
      <c r="N140" s="277"/>
      <c r="O140" s="277"/>
      <c r="P140" s="277"/>
    </row>
    <row r="141" spans="2:16" x14ac:dyDescent="0.25">
      <c r="B141" s="144"/>
      <c r="C141" s="133"/>
      <c r="I141" s="276"/>
      <c r="J141" s="276"/>
      <c r="K141" s="276"/>
      <c r="L141" s="276"/>
      <c r="M141" s="276"/>
      <c r="N141" s="277"/>
      <c r="O141" s="277"/>
      <c r="P141" s="277"/>
    </row>
    <row r="142" spans="2:16" x14ac:dyDescent="0.25">
      <c r="B142" s="144"/>
      <c r="C142" s="133"/>
      <c r="I142" s="276"/>
      <c r="J142" s="276"/>
      <c r="K142" s="276"/>
      <c r="L142" s="276"/>
      <c r="M142" s="276"/>
      <c r="N142" s="277"/>
      <c r="O142" s="277"/>
      <c r="P142" s="277"/>
    </row>
    <row r="143" spans="2:16" x14ac:dyDescent="0.25">
      <c r="B143" s="144"/>
      <c r="C143" s="133"/>
      <c r="I143" s="276"/>
      <c r="J143" s="276"/>
      <c r="K143" s="276"/>
      <c r="L143" s="276"/>
      <c r="M143" s="276"/>
      <c r="N143" s="277"/>
      <c r="O143" s="277"/>
      <c r="P143" s="277"/>
    </row>
    <row r="144" spans="2:16" x14ac:dyDescent="0.25">
      <c r="B144" s="144"/>
      <c r="C144" s="133"/>
      <c r="I144" s="276"/>
      <c r="J144" s="276"/>
      <c r="K144" s="276"/>
      <c r="L144" s="276"/>
      <c r="M144" s="276"/>
      <c r="N144" s="277"/>
      <c r="O144" s="277"/>
      <c r="P144" s="277"/>
    </row>
    <row r="145" spans="2:16" x14ac:dyDescent="0.25">
      <c r="B145" s="144"/>
      <c r="C145" s="133"/>
      <c r="I145" s="276"/>
      <c r="J145" s="276"/>
      <c r="K145" s="276"/>
      <c r="L145" s="276"/>
      <c r="M145" s="276"/>
      <c r="N145" s="277"/>
      <c r="O145" s="277"/>
      <c r="P145" s="277"/>
    </row>
    <row r="146" spans="2:16" x14ac:dyDescent="0.25">
      <c r="B146" s="144"/>
      <c r="C146" s="133"/>
      <c r="I146" s="276"/>
      <c r="J146" s="276"/>
      <c r="K146" s="276"/>
      <c r="L146" s="276"/>
      <c r="M146" s="276"/>
      <c r="N146" s="277"/>
      <c r="O146" s="277"/>
      <c r="P146" s="277"/>
    </row>
    <row r="147" spans="2:16" x14ac:dyDescent="0.25">
      <c r="B147" s="144"/>
      <c r="C147" s="133"/>
      <c r="I147" s="276"/>
      <c r="J147" s="276"/>
      <c r="K147" s="276"/>
      <c r="L147" s="276"/>
      <c r="M147" s="276"/>
      <c r="N147" s="277"/>
      <c r="O147" s="277"/>
      <c r="P147" s="277"/>
    </row>
    <row r="148" spans="2:16" x14ac:dyDescent="0.25">
      <c r="B148" s="144"/>
      <c r="C148" s="133"/>
      <c r="I148" s="276"/>
      <c r="J148" s="276"/>
      <c r="K148" s="276"/>
      <c r="L148" s="276"/>
      <c r="M148" s="276"/>
      <c r="N148" s="277"/>
      <c r="O148" s="277"/>
      <c r="P148" s="277"/>
    </row>
    <row r="149" spans="2:16" x14ac:dyDescent="0.25">
      <c r="B149" s="144"/>
      <c r="C149" s="133"/>
      <c r="I149" s="276"/>
      <c r="J149" s="276"/>
      <c r="K149" s="276"/>
      <c r="L149" s="276"/>
      <c r="M149" s="276"/>
      <c r="N149" s="277"/>
      <c r="O149" s="277"/>
      <c r="P149" s="277"/>
    </row>
    <row r="150" spans="2:16" x14ac:dyDescent="0.25">
      <c r="B150" s="144"/>
      <c r="C150" s="133"/>
      <c r="I150" s="276"/>
      <c r="J150" s="276"/>
      <c r="K150" s="276"/>
      <c r="L150" s="276"/>
      <c r="M150" s="276"/>
      <c r="N150" s="277"/>
      <c r="O150" s="277"/>
      <c r="P150" s="277"/>
    </row>
    <row r="151" spans="2:16" x14ac:dyDescent="0.25">
      <c r="B151" s="144"/>
      <c r="C151" s="133"/>
      <c r="I151" s="276"/>
      <c r="J151" s="276"/>
      <c r="K151" s="276"/>
      <c r="L151" s="276"/>
      <c r="M151" s="276"/>
      <c r="N151" s="277"/>
      <c r="O151" s="277"/>
      <c r="P151" s="277"/>
    </row>
    <row r="152" spans="2:16" x14ac:dyDescent="0.25">
      <c r="B152" s="144"/>
      <c r="C152" s="133"/>
      <c r="I152" s="276"/>
      <c r="J152" s="276"/>
      <c r="K152" s="276"/>
      <c r="L152" s="276"/>
      <c r="M152" s="276"/>
      <c r="N152" s="277"/>
      <c r="O152" s="277"/>
      <c r="P152" s="277"/>
    </row>
    <row r="153" spans="2:16" x14ac:dyDescent="0.25">
      <c r="B153" s="144"/>
      <c r="C153" s="133"/>
      <c r="I153" s="276"/>
      <c r="J153" s="276"/>
      <c r="K153" s="276"/>
      <c r="L153" s="276"/>
      <c r="M153" s="276"/>
      <c r="N153" s="277"/>
      <c r="O153" s="277"/>
      <c r="P153" s="277"/>
    </row>
    <row r="154" spans="2:16" x14ac:dyDescent="0.25">
      <c r="B154" s="144"/>
      <c r="C154" s="133"/>
      <c r="I154" s="276"/>
      <c r="J154" s="276"/>
      <c r="K154" s="276"/>
      <c r="L154" s="276"/>
      <c r="M154" s="276"/>
      <c r="N154" s="277"/>
      <c r="O154" s="277"/>
      <c r="P154" s="277"/>
    </row>
    <row r="155" spans="2:16" x14ac:dyDescent="0.25">
      <c r="B155" s="144"/>
      <c r="C155" s="133"/>
      <c r="I155" s="276"/>
      <c r="J155" s="276"/>
      <c r="K155" s="276"/>
      <c r="L155" s="276"/>
      <c r="M155" s="276"/>
      <c r="N155" s="277"/>
      <c r="O155" s="277"/>
      <c r="P155" s="277"/>
    </row>
    <row r="156" spans="2:16" x14ac:dyDescent="0.25">
      <c r="B156" s="144"/>
      <c r="C156" s="133"/>
      <c r="I156" s="276"/>
      <c r="J156" s="276"/>
      <c r="K156" s="276"/>
      <c r="L156" s="276"/>
      <c r="M156" s="276"/>
      <c r="N156" s="277"/>
      <c r="O156" s="277"/>
      <c r="P156" s="277"/>
    </row>
    <row r="157" spans="2:16" x14ac:dyDescent="0.25">
      <c r="B157" s="144"/>
      <c r="C157" s="133"/>
      <c r="I157" s="276"/>
      <c r="J157" s="276"/>
      <c r="K157" s="276"/>
      <c r="L157" s="276"/>
      <c r="M157" s="276"/>
      <c r="N157" s="277"/>
      <c r="O157" s="277"/>
      <c r="P157" s="277"/>
    </row>
    <row r="158" spans="2:16" x14ac:dyDescent="0.25">
      <c r="B158" s="144"/>
      <c r="C158" s="133"/>
      <c r="I158" s="276"/>
      <c r="J158" s="276"/>
      <c r="K158" s="276"/>
      <c r="L158" s="276"/>
      <c r="M158" s="276"/>
      <c r="N158" s="277"/>
      <c r="O158" s="277"/>
      <c r="P158" s="277"/>
    </row>
    <row r="159" spans="2:16" x14ac:dyDescent="0.25">
      <c r="B159" s="144"/>
      <c r="C159" s="133"/>
      <c r="I159" s="276"/>
      <c r="J159" s="276"/>
      <c r="K159" s="276"/>
      <c r="L159" s="276"/>
      <c r="M159" s="276"/>
      <c r="N159" s="277"/>
      <c r="O159" s="277"/>
      <c r="P159" s="277"/>
    </row>
    <row r="160" spans="2:16" x14ac:dyDescent="0.25">
      <c r="B160" s="144"/>
      <c r="C160" s="133"/>
      <c r="I160" s="276"/>
      <c r="J160" s="276"/>
      <c r="K160" s="276"/>
      <c r="L160" s="276"/>
      <c r="M160" s="276"/>
      <c r="N160" s="277"/>
      <c r="O160" s="277"/>
      <c r="P160" s="277"/>
    </row>
    <row r="161" spans="2:16" x14ac:dyDescent="0.25">
      <c r="B161" s="144"/>
      <c r="C161" s="133"/>
      <c r="I161" s="276"/>
      <c r="J161" s="276"/>
      <c r="K161" s="276"/>
      <c r="L161" s="276"/>
      <c r="M161" s="276"/>
      <c r="N161" s="277"/>
      <c r="O161" s="277"/>
      <c r="P161" s="277"/>
    </row>
    <row r="162" spans="2:16" x14ac:dyDescent="0.25">
      <c r="B162" s="144"/>
      <c r="C162" s="133"/>
      <c r="I162" s="276"/>
      <c r="J162" s="276"/>
      <c r="K162" s="276"/>
      <c r="L162" s="276"/>
      <c r="M162" s="276"/>
      <c r="N162" s="277"/>
      <c r="O162" s="277"/>
      <c r="P162" s="277"/>
    </row>
    <row r="163" spans="2:16" x14ac:dyDescent="0.25">
      <c r="B163" s="144"/>
      <c r="C163" s="133"/>
      <c r="I163" s="276"/>
      <c r="J163" s="276"/>
      <c r="K163" s="276"/>
      <c r="L163" s="276"/>
      <c r="M163" s="276"/>
      <c r="N163" s="277"/>
      <c r="O163" s="277"/>
      <c r="P163" s="277"/>
    </row>
    <row r="164" spans="2:16" x14ac:dyDescent="0.25">
      <c r="B164" s="144"/>
      <c r="C164" s="133"/>
      <c r="I164" s="276"/>
      <c r="J164" s="276"/>
      <c r="K164" s="276"/>
      <c r="L164" s="276"/>
      <c r="M164" s="276"/>
      <c r="N164" s="277"/>
      <c r="O164" s="277"/>
      <c r="P164" s="277"/>
    </row>
    <row r="165" spans="2:16" x14ac:dyDescent="0.25">
      <c r="B165" s="144"/>
      <c r="C165" s="133"/>
      <c r="I165" s="276"/>
      <c r="J165" s="276"/>
      <c r="K165" s="276"/>
      <c r="L165" s="276"/>
      <c r="M165" s="276"/>
      <c r="N165" s="277"/>
      <c r="O165" s="277"/>
      <c r="P165" s="277"/>
    </row>
    <row r="166" spans="2:16" x14ac:dyDescent="0.25">
      <c r="B166" s="144"/>
      <c r="C166" s="133"/>
      <c r="I166" s="276"/>
      <c r="J166" s="276"/>
      <c r="K166" s="276"/>
      <c r="L166" s="276"/>
      <c r="M166" s="276"/>
      <c r="N166" s="277"/>
      <c r="O166" s="277"/>
      <c r="P166" s="277"/>
    </row>
    <row r="167" spans="2:16" x14ac:dyDescent="0.25">
      <c r="B167" s="144"/>
      <c r="C167" s="133"/>
      <c r="I167" s="276"/>
      <c r="J167" s="276"/>
      <c r="K167" s="276"/>
      <c r="L167" s="276"/>
      <c r="M167" s="276"/>
      <c r="N167" s="277"/>
      <c r="O167" s="277"/>
      <c r="P167" s="277"/>
    </row>
    <row r="168" spans="2:16" x14ac:dyDescent="0.25">
      <c r="B168" s="144"/>
      <c r="C168" s="133"/>
      <c r="I168" s="276"/>
      <c r="J168" s="276"/>
      <c r="K168" s="276"/>
      <c r="L168" s="276"/>
      <c r="M168" s="276"/>
      <c r="N168" s="277"/>
      <c r="O168" s="277"/>
      <c r="P168" s="277"/>
    </row>
    <row r="169" spans="2:16" x14ac:dyDescent="0.25">
      <c r="B169" s="144"/>
      <c r="C169" s="133"/>
      <c r="I169" s="276"/>
      <c r="J169" s="276"/>
      <c r="K169" s="276"/>
      <c r="L169" s="276"/>
      <c r="M169" s="276"/>
      <c r="N169" s="277"/>
      <c r="O169" s="277"/>
      <c r="P169" s="277"/>
    </row>
    <row r="170" spans="2:16" x14ac:dyDescent="0.25">
      <c r="B170" s="144"/>
      <c r="C170" s="133"/>
      <c r="I170" s="276"/>
      <c r="J170" s="276"/>
      <c r="K170" s="276"/>
      <c r="L170" s="276"/>
      <c r="M170" s="276"/>
      <c r="N170" s="277"/>
      <c r="O170" s="277"/>
      <c r="P170" s="277"/>
    </row>
    <row r="171" spans="2:16" x14ac:dyDescent="0.25">
      <c r="B171" s="144"/>
      <c r="C171" s="133"/>
      <c r="I171" s="276"/>
      <c r="J171" s="276"/>
      <c r="K171" s="276"/>
      <c r="L171" s="276"/>
      <c r="M171" s="276"/>
      <c r="N171" s="277"/>
      <c r="O171" s="277"/>
      <c r="P171" s="277"/>
    </row>
    <row r="172" spans="2:16" x14ac:dyDescent="0.25">
      <c r="B172" s="144"/>
      <c r="C172" s="133"/>
      <c r="I172" s="276"/>
      <c r="J172" s="276"/>
      <c r="K172" s="276"/>
      <c r="L172" s="276"/>
      <c r="M172" s="276"/>
      <c r="N172" s="277"/>
      <c r="O172" s="277"/>
      <c r="P172" s="277"/>
    </row>
    <row r="173" spans="2:16" x14ac:dyDescent="0.25">
      <c r="B173" s="144"/>
      <c r="C173" s="133"/>
      <c r="I173" s="276"/>
      <c r="J173" s="276"/>
      <c r="K173" s="276"/>
      <c r="L173" s="276"/>
      <c r="M173" s="276"/>
      <c r="N173" s="277"/>
      <c r="O173" s="277"/>
      <c r="P173" s="277"/>
    </row>
    <row r="174" spans="2:16" x14ac:dyDescent="0.25">
      <c r="B174" s="144"/>
      <c r="C174" s="133"/>
      <c r="I174" s="276"/>
      <c r="J174" s="276"/>
      <c r="K174" s="276"/>
      <c r="L174" s="276"/>
      <c r="M174" s="276"/>
      <c r="N174" s="277"/>
      <c r="O174" s="277"/>
      <c r="P174" s="277"/>
    </row>
    <row r="175" spans="2:16" x14ac:dyDescent="0.25">
      <c r="B175" s="144"/>
      <c r="C175" s="133"/>
      <c r="I175" s="276"/>
      <c r="J175" s="276"/>
      <c r="K175" s="276"/>
      <c r="L175" s="276"/>
      <c r="M175" s="276"/>
      <c r="N175" s="277"/>
      <c r="O175" s="277"/>
      <c r="P175" s="277"/>
    </row>
    <row r="176" spans="2:16" x14ac:dyDescent="0.25">
      <c r="B176" s="144"/>
      <c r="C176" s="133"/>
      <c r="I176" s="276"/>
      <c r="J176" s="276"/>
      <c r="K176" s="276"/>
      <c r="L176" s="276"/>
      <c r="M176" s="276"/>
      <c r="N176" s="277"/>
      <c r="O176" s="277"/>
      <c r="P176" s="277"/>
    </row>
    <row r="177" spans="2:16" x14ac:dyDescent="0.25">
      <c r="B177" s="144"/>
      <c r="C177" s="133"/>
      <c r="I177" s="276"/>
      <c r="J177" s="276"/>
      <c r="K177" s="276"/>
      <c r="L177" s="276"/>
      <c r="M177" s="276"/>
      <c r="N177" s="277"/>
      <c r="O177" s="277"/>
      <c r="P177" s="277"/>
    </row>
    <row r="178" spans="2:16" x14ac:dyDescent="0.25">
      <c r="B178" s="144"/>
      <c r="C178" s="133"/>
      <c r="I178" s="276"/>
      <c r="J178" s="276"/>
      <c r="K178" s="276"/>
      <c r="L178" s="276"/>
      <c r="M178" s="276"/>
      <c r="N178" s="277"/>
      <c r="O178" s="277"/>
      <c r="P178" s="277"/>
    </row>
    <row r="179" spans="2:16" x14ac:dyDescent="0.25">
      <c r="B179" s="144"/>
      <c r="C179" s="133"/>
      <c r="I179" s="276"/>
      <c r="J179" s="276"/>
      <c r="K179" s="276"/>
      <c r="L179" s="276"/>
      <c r="M179" s="276"/>
      <c r="N179" s="277"/>
      <c r="O179" s="277"/>
      <c r="P179" s="277"/>
    </row>
    <row r="180" spans="2:16" x14ac:dyDescent="0.25">
      <c r="B180" s="144"/>
      <c r="C180" s="133"/>
      <c r="I180" s="276"/>
      <c r="J180" s="276"/>
      <c r="K180" s="276"/>
      <c r="L180" s="276"/>
      <c r="M180" s="276"/>
      <c r="N180" s="277"/>
      <c r="O180" s="277"/>
      <c r="P180" s="277"/>
    </row>
    <row r="181" spans="2:16" x14ac:dyDescent="0.25">
      <c r="B181" s="144"/>
      <c r="C181" s="133"/>
      <c r="I181" s="276"/>
      <c r="J181" s="276"/>
      <c r="K181" s="276"/>
      <c r="L181" s="276"/>
      <c r="M181" s="276"/>
      <c r="N181" s="277"/>
      <c r="O181" s="277"/>
      <c r="P181" s="277"/>
    </row>
    <row r="182" spans="2:16" x14ac:dyDescent="0.25">
      <c r="B182" s="144"/>
      <c r="C182" s="133"/>
      <c r="I182" s="276"/>
      <c r="J182" s="276"/>
      <c r="K182" s="276"/>
      <c r="L182" s="276"/>
      <c r="M182" s="276"/>
      <c r="N182" s="277"/>
      <c r="O182" s="277"/>
      <c r="P182" s="277"/>
    </row>
    <row r="183" spans="2:16" x14ac:dyDescent="0.25">
      <c r="B183" s="144"/>
      <c r="C183" s="133"/>
      <c r="I183" s="276"/>
      <c r="J183" s="276"/>
      <c r="K183" s="276"/>
      <c r="L183" s="276"/>
      <c r="M183" s="276"/>
      <c r="N183" s="277"/>
      <c r="O183" s="277"/>
      <c r="P183" s="277"/>
    </row>
    <row r="184" spans="2:16" x14ac:dyDescent="0.25">
      <c r="B184" s="144"/>
      <c r="C184" s="133"/>
      <c r="I184" s="276"/>
      <c r="J184" s="276"/>
      <c r="K184" s="276"/>
      <c r="L184" s="276"/>
      <c r="M184" s="276"/>
      <c r="N184" s="277"/>
      <c r="O184" s="277"/>
      <c r="P184" s="277"/>
    </row>
    <row r="185" spans="2:16" x14ac:dyDescent="0.25">
      <c r="B185" s="144"/>
      <c r="C185" s="133"/>
      <c r="I185" s="276"/>
      <c r="J185" s="276"/>
      <c r="K185" s="276"/>
      <c r="L185" s="276"/>
      <c r="M185" s="276"/>
      <c r="N185" s="277"/>
      <c r="O185" s="277"/>
      <c r="P185" s="277"/>
    </row>
    <row r="186" spans="2:16" x14ac:dyDescent="0.25">
      <c r="B186" s="144"/>
      <c r="C186" s="133"/>
      <c r="I186" s="276"/>
      <c r="J186" s="276"/>
      <c r="K186" s="276"/>
      <c r="L186" s="276"/>
      <c r="M186" s="276"/>
      <c r="N186" s="277"/>
      <c r="O186" s="277"/>
      <c r="P186" s="277"/>
    </row>
    <row r="187" spans="2:16" x14ac:dyDescent="0.25">
      <c r="B187" s="144"/>
      <c r="C187" s="133"/>
      <c r="I187" s="276"/>
      <c r="J187" s="276"/>
      <c r="K187" s="276"/>
      <c r="L187" s="276"/>
      <c r="M187" s="276"/>
      <c r="N187" s="277"/>
      <c r="O187" s="277"/>
      <c r="P187" s="277"/>
    </row>
    <row r="188" spans="2:16" x14ac:dyDescent="0.25">
      <c r="B188" s="144"/>
      <c r="C188" s="133"/>
      <c r="I188" s="276"/>
      <c r="J188" s="276"/>
      <c r="K188" s="276"/>
      <c r="L188" s="276"/>
      <c r="M188" s="276"/>
      <c r="N188" s="277"/>
      <c r="O188" s="277"/>
      <c r="P188" s="277"/>
    </row>
    <row r="189" spans="2:16" x14ac:dyDescent="0.25">
      <c r="B189" s="144"/>
      <c r="C189" s="133"/>
      <c r="I189" s="276"/>
      <c r="J189" s="276"/>
      <c r="K189" s="276"/>
      <c r="L189" s="276"/>
      <c r="M189" s="276"/>
      <c r="N189" s="277"/>
      <c r="O189" s="277"/>
      <c r="P189" s="277"/>
    </row>
    <row r="190" spans="2:16" x14ac:dyDescent="0.25">
      <c r="B190" s="144"/>
      <c r="C190" s="133"/>
      <c r="I190" s="276"/>
      <c r="J190" s="276"/>
      <c r="K190" s="276"/>
      <c r="L190" s="276"/>
      <c r="M190" s="276"/>
      <c r="N190" s="277"/>
      <c r="O190" s="277"/>
      <c r="P190" s="277"/>
    </row>
    <row r="191" spans="2:16" x14ac:dyDescent="0.25">
      <c r="B191" s="144"/>
      <c r="C191" s="133"/>
      <c r="I191" s="276"/>
      <c r="J191" s="276"/>
      <c r="K191" s="276"/>
      <c r="L191" s="276"/>
      <c r="M191" s="276"/>
      <c r="N191" s="277"/>
      <c r="O191" s="277"/>
      <c r="P191" s="277"/>
    </row>
    <row r="192" spans="2:16" x14ac:dyDescent="0.25">
      <c r="B192" s="144"/>
      <c r="C192" s="133"/>
      <c r="I192" s="276"/>
      <c r="J192" s="276"/>
      <c r="K192" s="276"/>
      <c r="L192" s="276"/>
      <c r="M192" s="276"/>
      <c r="N192" s="277"/>
      <c r="O192" s="277"/>
      <c r="P192" s="277"/>
    </row>
    <row r="193" spans="2:16" x14ac:dyDescent="0.25">
      <c r="B193" s="144"/>
      <c r="C193" s="133"/>
      <c r="I193" s="276"/>
      <c r="J193" s="276"/>
      <c r="K193" s="276"/>
      <c r="L193" s="276"/>
      <c r="M193" s="276"/>
      <c r="N193" s="277"/>
      <c r="O193" s="277"/>
      <c r="P193" s="277"/>
    </row>
    <row r="194" spans="2:16" x14ac:dyDescent="0.25">
      <c r="B194" s="144"/>
      <c r="C194" s="133"/>
      <c r="I194" s="276"/>
      <c r="J194" s="276"/>
      <c r="K194" s="276"/>
      <c r="L194" s="276"/>
      <c r="M194" s="276"/>
      <c r="N194" s="277"/>
      <c r="O194" s="277"/>
      <c r="P194" s="277"/>
    </row>
    <row r="195" spans="2:16" x14ac:dyDescent="0.25">
      <c r="B195" s="144"/>
      <c r="C195" s="133"/>
      <c r="I195" s="276"/>
      <c r="J195" s="276"/>
      <c r="K195" s="276"/>
      <c r="L195" s="276"/>
      <c r="M195" s="276"/>
      <c r="N195" s="277"/>
      <c r="O195" s="277"/>
      <c r="P195" s="277"/>
    </row>
    <row r="196" spans="2:16" x14ac:dyDescent="0.25">
      <c r="B196" s="144"/>
      <c r="C196" s="133"/>
      <c r="I196" s="276"/>
      <c r="J196" s="276"/>
      <c r="K196" s="276"/>
      <c r="L196" s="276"/>
      <c r="M196" s="276"/>
      <c r="N196" s="277"/>
      <c r="O196" s="277"/>
      <c r="P196" s="277"/>
    </row>
    <row r="197" spans="2:16" x14ac:dyDescent="0.25">
      <c r="B197" s="144"/>
      <c r="C197" s="133"/>
      <c r="I197" s="276"/>
      <c r="J197" s="276"/>
      <c r="K197" s="276"/>
      <c r="L197" s="276"/>
      <c r="M197" s="276"/>
      <c r="N197" s="277"/>
      <c r="O197" s="277"/>
      <c r="P197" s="277"/>
    </row>
    <row r="198" spans="2:16" x14ac:dyDescent="0.25">
      <c r="B198" s="144"/>
      <c r="C198" s="133"/>
      <c r="I198" s="276"/>
      <c r="J198" s="276"/>
      <c r="K198" s="276"/>
      <c r="L198" s="276"/>
      <c r="M198" s="276"/>
      <c r="N198" s="277"/>
      <c r="O198" s="277"/>
      <c r="P198" s="277"/>
    </row>
    <row r="199" spans="2:16" x14ac:dyDescent="0.25">
      <c r="B199" s="144"/>
      <c r="C199" s="133"/>
      <c r="I199" s="276"/>
      <c r="J199" s="276"/>
      <c r="K199" s="276"/>
      <c r="L199" s="276"/>
      <c r="M199" s="276"/>
      <c r="N199" s="277"/>
      <c r="O199" s="277"/>
      <c r="P199" s="277"/>
    </row>
    <row r="200" spans="2:16" x14ac:dyDescent="0.25">
      <c r="B200" s="144"/>
      <c r="C200" s="133"/>
      <c r="I200" s="276"/>
      <c r="J200" s="276"/>
      <c r="K200" s="276"/>
      <c r="L200" s="276"/>
      <c r="M200" s="276"/>
      <c r="N200" s="277"/>
      <c r="O200" s="277"/>
      <c r="P200" s="277"/>
    </row>
    <row r="201" spans="2:16" x14ac:dyDescent="0.25">
      <c r="B201" s="144"/>
      <c r="C201" s="133"/>
      <c r="I201" s="276"/>
      <c r="J201" s="276"/>
      <c r="K201" s="276"/>
      <c r="L201" s="276"/>
      <c r="M201" s="276"/>
      <c r="N201" s="277"/>
      <c r="O201" s="277"/>
      <c r="P201" s="277"/>
    </row>
    <row r="202" spans="2:16" x14ac:dyDescent="0.25">
      <c r="B202" s="144"/>
      <c r="C202" s="133"/>
      <c r="I202" s="276"/>
      <c r="J202" s="276"/>
      <c r="K202" s="276"/>
      <c r="L202" s="276"/>
      <c r="M202" s="276"/>
      <c r="N202" s="277"/>
      <c r="O202" s="277"/>
      <c r="P202" s="277"/>
    </row>
    <row r="203" spans="2:16" x14ac:dyDescent="0.25">
      <c r="B203" s="144"/>
      <c r="C203" s="133"/>
      <c r="I203" s="276"/>
      <c r="J203" s="276"/>
      <c r="K203" s="276"/>
      <c r="L203" s="276"/>
      <c r="M203" s="276"/>
      <c r="N203" s="277"/>
      <c r="O203" s="277"/>
      <c r="P203" s="277"/>
    </row>
    <row r="204" spans="2:16" x14ac:dyDescent="0.25">
      <c r="B204" s="144"/>
      <c r="C204" s="133"/>
      <c r="I204" s="276"/>
      <c r="J204" s="276"/>
      <c r="K204" s="276"/>
      <c r="L204" s="276"/>
      <c r="M204" s="276"/>
      <c r="N204" s="277"/>
      <c r="O204" s="277"/>
      <c r="P204" s="277"/>
    </row>
    <row r="205" spans="2:16" x14ac:dyDescent="0.25">
      <c r="B205" s="144"/>
      <c r="C205" s="133"/>
      <c r="I205" s="276"/>
      <c r="J205" s="276"/>
      <c r="K205" s="276"/>
      <c r="L205" s="276"/>
      <c r="M205" s="276"/>
      <c r="N205" s="277"/>
      <c r="O205" s="277"/>
      <c r="P205" s="277"/>
    </row>
    <row r="206" spans="2:16" x14ac:dyDescent="0.25">
      <c r="B206" s="144"/>
      <c r="C206" s="133"/>
      <c r="I206" s="276"/>
      <c r="J206" s="276"/>
      <c r="K206" s="276"/>
      <c r="L206" s="276"/>
      <c r="M206" s="276"/>
      <c r="N206" s="277"/>
      <c r="O206" s="277"/>
      <c r="P206" s="277"/>
    </row>
    <row r="207" spans="2:16" x14ac:dyDescent="0.25">
      <c r="B207" s="144"/>
      <c r="C207" s="133"/>
      <c r="I207" s="276"/>
      <c r="J207" s="276"/>
      <c r="K207" s="276"/>
      <c r="L207" s="276"/>
      <c r="M207" s="276"/>
      <c r="N207" s="277"/>
      <c r="O207" s="277"/>
      <c r="P207" s="277"/>
    </row>
    <row r="208" spans="2:16" x14ac:dyDescent="0.25">
      <c r="B208" s="144"/>
      <c r="C208" s="133"/>
      <c r="I208" s="276"/>
      <c r="J208" s="276"/>
      <c r="K208" s="276"/>
      <c r="L208" s="276"/>
      <c r="M208" s="276"/>
      <c r="N208" s="277"/>
      <c r="O208" s="277"/>
      <c r="P208" s="277"/>
    </row>
    <row r="209" spans="2:16" x14ac:dyDescent="0.25">
      <c r="B209" s="144"/>
      <c r="C209" s="133"/>
      <c r="I209" s="276"/>
      <c r="J209" s="276"/>
      <c r="K209" s="276"/>
      <c r="L209" s="276"/>
      <c r="M209" s="276"/>
      <c r="N209" s="277"/>
      <c r="O209" s="277"/>
      <c r="P209" s="277"/>
    </row>
    <row r="210" spans="2:16" x14ac:dyDescent="0.25">
      <c r="B210" s="144"/>
      <c r="C210" s="133"/>
      <c r="I210" s="276"/>
      <c r="J210" s="276"/>
      <c r="K210" s="276"/>
      <c r="L210" s="276"/>
      <c r="M210" s="276"/>
      <c r="N210" s="277"/>
      <c r="O210" s="277"/>
      <c r="P210" s="277"/>
    </row>
    <row r="211" spans="2:16" x14ac:dyDescent="0.25">
      <c r="B211" s="144"/>
      <c r="C211" s="133"/>
      <c r="I211" s="276"/>
      <c r="J211" s="276"/>
      <c r="K211" s="276"/>
      <c r="L211" s="276"/>
      <c r="M211" s="276"/>
      <c r="N211" s="277"/>
      <c r="O211" s="277"/>
      <c r="P211" s="277"/>
    </row>
    <row r="212" spans="2:16" x14ac:dyDescent="0.25">
      <c r="B212" s="144"/>
      <c r="C212" s="133"/>
      <c r="I212" s="276"/>
      <c r="J212" s="276"/>
      <c r="K212" s="276"/>
      <c r="L212" s="276"/>
      <c r="M212" s="276"/>
      <c r="N212" s="277"/>
      <c r="O212" s="277"/>
      <c r="P212" s="277"/>
    </row>
    <row r="213" spans="2:16" x14ac:dyDescent="0.25">
      <c r="B213" s="144"/>
      <c r="C213" s="133"/>
      <c r="I213" s="276"/>
      <c r="J213" s="276"/>
      <c r="K213" s="276"/>
      <c r="L213" s="276"/>
      <c r="M213" s="276"/>
      <c r="N213" s="277"/>
      <c r="O213" s="277"/>
      <c r="P213" s="277"/>
    </row>
    <row r="214" spans="2:16" x14ac:dyDescent="0.25">
      <c r="B214" s="144"/>
      <c r="C214" s="133"/>
      <c r="I214" s="276"/>
      <c r="J214" s="276"/>
      <c r="K214" s="276"/>
      <c r="L214" s="276"/>
      <c r="M214" s="276"/>
      <c r="N214" s="277"/>
      <c r="O214" s="277"/>
      <c r="P214" s="277"/>
    </row>
    <row r="215" spans="2:16" x14ac:dyDescent="0.25">
      <c r="B215" s="144"/>
      <c r="C215" s="133"/>
      <c r="I215" s="276"/>
      <c r="J215" s="276"/>
      <c r="K215" s="276"/>
      <c r="L215" s="276"/>
      <c r="M215" s="276"/>
      <c r="N215" s="277"/>
      <c r="O215" s="277"/>
      <c r="P215" s="277"/>
    </row>
    <row r="216" spans="2:16" x14ac:dyDescent="0.25">
      <c r="B216" s="144"/>
      <c r="C216" s="133"/>
      <c r="I216" s="276"/>
      <c r="J216" s="276"/>
      <c r="K216" s="276"/>
      <c r="L216" s="276"/>
      <c r="M216" s="276"/>
      <c r="N216" s="277"/>
      <c r="O216" s="277"/>
      <c r="P216" s="277"/>
    </row>
    <row r="217" spans="2:16" x14ac:dyDescent="0.25">
      <c r="B217" s="144"/>
      <c r="C217" s="133"/>
      <c r="I217" s="276"/>
      <c r="J217" s="276"/>
      <c r="K217" s="276"/>
      <c r="L217" s="276"/>
      <c r="M217" s="276"/>
      <c r="N217" s="277"/>
      <c r="O217" s="277"/>
      <c r="P217" s="277"/>
    </row>
    <row r="218" spans="2:16" x14ac:dyDescent="0.25">
      <c r="B218" s="144"/>
      <c r="C218" s="133"/>
      <c r="I218" s="276"/>
      <c r="J218" s="276"/>
      <c r="K218" s="276"/>
      <c r="L218" s="276"/>
      <c r="M218" s="276"/>
      <c r="N218" s="277"/>
      <c r="O218" s="277"/>
      <c r="P218" s="277"/>
    </row>
    <row r="219" spans="2:16" x14ac:dyDescent="0.25">
      <c r="B219" s="144"/>
      <c r="C219" s="133"/>
      <c r="I219" s="276"/>
      <c r="J219" s="276"/>
      <c r="K219" s="276"/>
      <c r="L219" s="276"/>
      <c r="M219" s="276"/>
      <c r="N219" s="277"/>
      <c r="O219" s="277"/>
      <c r="P219" s="277"/>
    </row>
    <row r="220" spans="2:16" x14ac:dyDescent="0.25">
      <c r="B220" s="144"/>
      <c r="C220" s="133"/>
      <c r="I220" s="276"/>
      <c r="J220" s="276"/>
      <c r="K220" s="276"/>
      <c r="L220" s="276"/>
      <c r="M220" s="276"/>
      <c r="N220" s="277"/>
      <c r="O220" s="277"/>
      <c r="P220" s="277"/>
    </row>
    <row r="221" spans="2:16" x14ac:dyDescent="0.25">
      <c r="B221" s="144"/>
      <c r="C221" s="133"/>
      <c r="I221" s="276"/>
      <c r="J221" s="276"/>
      <c r="K221" s="276"/>
      <c r="L221" s="276"/>
      <c r="M221" s="276"/>
      <c r="N221" s="277"/>
      <c r="O221" s="277"/>
      <c r="P221" s="277"/>
    </row>
    <row r="222" spans="2:16" x14ac:dyDescent="0.25">
      <c r="B222" s="144"/>
      <c r="C222" s="133"/>
      <c r="I222" s="276"/>
      <c r="J222" s="276"/>
      <c r="K222" s="276"/>
      <c r="L222" s="276"/>
      <c r="M222" s="276"/>
      <c r="N222" s="277"/>
      <c r="O222" s="277"/>
      <c r="P222" s="277"/>
    </row>
    <row r="223" spans="2:16" x14ac:dyDescent="0.25">
      <c r="B223" s="144"/>
      <c r="C223" s="133"/>
      <c r="I223" s="276"/>
      <c r="J223" s="276"/>
      <c r="K223" s="276"/>
      <c r="L223" s="276"/>
      <c r="M223" s="276"/>
      <c r="N223" s="277"/>
      <c r="O223" s="277"/>
      <c r="P223" s="277"/>
    </row>
    <row r="224" spans="2:16" x14ac:dyDescent="0.25">
      <c r="B224" s="144"/>
      <c r="C224" s="133"/>
      <c r="I224" s="276"/>
      <c r="J224" s="276"/>
      <c r="K224" s="276"/>
      <c r="L224" s="276"/>
      <c r="M224" s="276"/>
      <c r="N224" s="277"/>
      <c r="O224" s="277"/>
      <c r="P224" s="277"/>
    </row>
    <row r="225" spans="2:16" x14ac:dyDescent="0.25">
      <c r="B225" s="144"/>
      <c r="C225" s="133"/>
      <c r="I225" s="276"/>
      <c r="J225" s="276"/>
      <c r="K225" s="276"/>
      <c r="L225" s="276"/>
      <c r="M225" s="276"/>
      <c r="N225" s="277"/>
      <c r="O225" s="277"/>
      <c r="P225" s="277"/>
    </row>
    <row r="226" spans="2:16" x14ac:dyDescent="0.25">
      <c r="B226" s="144"/>
      <c r="C226" s="133"/>
      <c r="I226" s="276"/>
      <c r="J226" s="276"/>
      <c r="K226" s="276"/>
      <c r="L226" s="276"/>
      <c r="M226" s="276"/>
      <c r="N226" s="277"/>
      <c r="O226" s="277"/>
      <c r="P226" s="277"/>
    </row>
    <row r="227" spans="2:16" x14ac:dyDescent="0.25">
      <c r="B227" s="144"/>
      <c r="C227" s="133"/>
      <c r="I227" s="276"/>
      <c r="J227" s="276"/>
      <c r="K227" s="276"/>
      <c r="L227" s="276"/>
      <c r="M227" s="276"/>
      <c r="N227" s="277"/>
      <c r="O227" s="277"/>
      <c r="P227" s="277"/>
    </row>
    <row r="228" spans="2:16" x14ac:dyDescent="0.25">
      <c r="B228" s="144"/>
      <c r="C228" s="133"/>
      <c r="I228" s="276"/>
      <c r="J228" s="276"/>
      <c r="K228" s="276"/>
      <c r="L228" s="276"/>
      <c r="M228" s="276"/>
      <c r="N228" s="277"/>
      <c r="O228" s="277"/>
      <c r="P228" s="277"/>
    </row>
    <row r="229" spans="2:16" x14ac:dyDescent="0.25">
      <c r="B229" s="144"/>
      <c r="C229" s="133"/>
      <c r="I229" s="276"/>
      <c r="J229" s="276"/>
      <c r="K229" s="276"/>
      <c r="L229" s="276"/>
      <c r="M229" s="276"/>
      <c r="N229" s="277"/>
      <c r="O229" s="277"/>
      <c r="P229" s="277"/>
    </row>
    <row r="230" spans="2:16" x14ac:dyDescent="0.25">
      <c r="B230" s="144"/>
      <c r="C230" s="133"/>
      <c r="I230" s="276"/>
      <c r="J230" s="276"/>
      <c r="K230" s="276"/>
      <c r="L230" s="276"/>
      <c r="M230" s="276"/>
      <c r="N230" s="277"/>
      <c r="O230" s="277"/>
      <c r="P230" s="277"/>
    </row>
    <row r="231" spans="2:16" x14ac:dyDescent="0.25">
      <c r="B231" s="144"/>
      <c r="C231" s="133"/>
      <c r="I231" s="276"/>
      <c r="J231" s="276"/>
      <c r="K231" s="276"/>
      <c r="L231" s="276"/>
      <c r="M231" s="276"/>
      <c r="N231" s="277"/>
      <c r="O231" s="277"/>
      <c r="P231" s="277"/>
    </row>
    <row r="232" spans="2:16" x14ac:dyDescent="0.25">
      <c r="B232" s="144"/>
      <c r="C232" s="133"/>
      <c r="I232" s="276"/>
      <c r="J232" s="276"/>
      <c r="K232" s="276"/>
      <c r="L232" s="276"/>
      <c r="M232" s="276"/>
      <c r="N232" s="277"/>
      <c r="O232" s="277"/>
      <c r="P232" s="277"/>
    </row>
    <row r="233" spans="2:16" x14ac:dyDescent="0.25">
      <c r="B233" s="144"/>
      <c r="C233" s="133"/>
      <c r="I233" s="276"/>
      <c r="J233" s="276"/>
      <c r="K233" s="276"/>
      <c r="L233" s="276"/>
      <c r="M233" s="276"/>
      <c r="N233" s="277"/>
      <c r="O233" s="277"/>
      <c r="P233" s="277"/>
    </row>
    <row r="234" spans="2:16" x14ac:dyDescent="0.25">
      <c r="B234" s="144"/>
      <c r="C234" s="133"/>
      <c r="I234" s="276"/>
      <c r="J234" s="276"/>
      <c r="K234" s="276"/>
      <c r="L234" s="276"/>
      <c r="M234" s="276"/>
      <c r="N234" s="277"/>
      <c r="O234" s="277"/>
      <c r="P234" s="277"/>
    </row>
    <row r="235" spans="2:16" x14ac:dyDescent="0.25">
      <c r="B235" s="144"/>
      <c r="C235" s="133"/>
      <c r="I235" s="276"/>
      <c r="J235" s="276"/>
      <c r="K235" s="276"/>
      <c r="L235" s="276"/>
      <c r="M235" s="276"/>
      <c r="N235" s="277"/>
      <c r="O235" s="277"/>
      <c r="P235" s="277"/>
    </row>
    <row r="236" spans="2:16" x14ac:dyDescent="0.25">
      <c r="B236" s="144"/>
      <c r="C236" s="133"/>
      <c r="I236" s="276"/>
      <c r="J236" s="276"/>
      <c r="K236" s="276"/>
      <c r="L236" s="276"/>
      <c r="M236" s="276"/>
      <c r="N236" s="277"/>
      <c r="O236" s="277"/>
      <c r="P236" s="277"/>
    </row>
    <row r="237" spans="2:16" x14ac:dyDescent="0.25">
      <c r="B237" s="144"/>
      <c r="C237" s="133"/>
      <c r="I237" s="276"/>
      <c r="J237" s="276"/>
      <c r="K237" s="276"/>
      <c r="L237" s="276"/>
      <c r="M237" s="276"/>
      <c r="N237" s="277"/>
      <c r="O237" s="277"/>
      <c r="P237" s="277"/>
    </row>
    <row r="238" spans="2:16" x14ac:dyDescent="0.25">
      <c r="B238" s="144"/>
      <c r="C238" s="133"/>
      <c r="I238" s="276"/>
      <c r="J238" s="276"/>
      <c r="K238" s="276"/>
      <c r="L238" s="276"/>
      <c r="M238" s="276"/>
      <c r="N238" s="277"/>
      <c r="O238" s="277"/>
      <c r="P238" s="277"/>
    </row>
    <row r="239" spans="2:16" x14ac:dyDescent="0.25">
      <c r="B239" s="144"/>
      <c r="C239" s="133"/>
      <c r="I239" s="276"/>
      <c r="J239" s="276"/>
      <c r="K239" s="276"/>
      <c r="L239" s="276"/>
      <c r="M239" s="276"/>
      <c r="N239" s="277"/>
      <c r="O239" s="277"/>
      <c r="P239" s="277"/>
    </row>
    <row r="240" spans="2:16" x14ac:dyDescent="0.25">
      <c r="B240" s="144"/>
      <c r="C240" s="133"/>
      <c r="I240" s="276"/>
      <c r="J240" s="276"/>
      <c r="K240" s="276"/>
      <c r="L240" s="276"/>
      <c r="M240" s="276"/>
      <c r="N240" s="277"/>
      <c r="O240" s="277"/>
      <c r="P240" s="277"/>
    </row>
    <row r="241" spans="2:16" x14ac:dyDescent="0.25">
      <c r="B241" s="144"/>
      <c r="C241" s="133"/>
      <c r="I241" s="276"/>
      <c r="J241" s="276"/>
      <c r="K241" s="276"/>
      <c r="L241" s="276"/>
      <c r="M241" s="276"/>
      <c r="N241" s="277"/>
      <c r="O241" s="277"/>
      <c r="P241" s="277"/>
    </row>
    <row r="242" spans="2:16" x14ac:dyDescent="0.25">
      <c r="B242" s="144"/>
      <c r="C242" s="133"/>
      <c r="I242" s="276"/>
      <c r="J242" s="276"/>
      <c r="K242" s="276"/>
      <c r="L242" s="276"/>
      <c r="M242" s="276"/>
      <c r="N242" s="277"/>
      <c r="O242" s="277"/>
      <c r="P242" s="277"/>
    </row>
    <row r="243" spans="2:16" x14ac:dyDescent="0.25">
      <c r="B243" s="144"/>
      <c r="C243" s="133"/>
      <c r="I243" s="276"/>
      <c r="J243" s="276"/>
      <c r="K243" s="276"/>
      <c r="L243" s="276"/>
      <c r="M243" s="276"/>
      <c r="N243" s="277"/>
      <c r="O243" s="277"/>
      <c r="P243" s="277"/>
    </row>
    <row r="244" spans="2:16" x14ac:dyDescent="0.25">
      <c r="B244" s="144"/>
      <c r="C244" s="133"/>
      <c r="I244" s="276"/>
      <c r="J244" s="276"/>
      <c r="K244" s="276"/>
      <c r="L244" s="276"/>
      <c r="M244" s="276"/>
      <c r="N244" s="277"/>
      <c r="O244" s="277"/>
      <c r="P244" s="277"/>
    </row>
    <row r="245" spans="2:16" x14ac:dyDescent="0.25">
      <c r="B245" s="144"/>
      <c r="C245" s="133"/>
      <c r="I245" s="276"/>
      <c r="J245" s="276"/>
      <c r="K245" s="276"/>
      <c r="L245" s="276"/>
      <c r="M245" s="276"/>
      <c r="N245" s="277"/>
      <c r="O245" s="277"/>
      <c r="P245" s="277"/>
    </row>
    <row r="246" spans="2:16" x14ac:dyDescent="0.25">
      <c r="B246" s="144"/>
      <c r="C246" s="133"/>
      <c r="I246" s="276"/>
      <c r="J246" s="276"/>
      <c r="K246" s="276"/>
      <c r="L246" s="276"/>
      <c r="M246" s="276"/>
      <c r="N246" s="277"/>
      <c r="O246" s="277"/>
      <c r="P246" s="277"/>
    </row>
    <row r="247" spans="2:16" x14ac:dyDescent="0.25">
      <c r="B247" s="144"/>
      <c r="C247" s="133"/>
      <c r="I247" s="276"/>
      <c r="J247" s="276"/>
      <c r="K247" s="276"/>
      <c r="L247" s="276"/>
      <c r="M247" s="276"/>
      <c r="N247" s="277"/>
      <c r="O247" s="277"/>
      <c r="P247" s="277"/>
    </row>
    <row r="248" spans="2:16" x14ac:dyDescent="0.25">
      <c r="B248" s="144"/>
      <c r="C248" s="133"/>
      <c r="I248" s="276"/>
      <c r="J248" s="276"/>
      <c r="K248" s="276"/>
      <c r="L248" s="276"/>
      <c r="M248" s="276"/>
      <c r="N248" s="277"/>
      <c r="O248" s="277"/>
      <c r="P248" s="277"/>
    </row>
    <row r="249" spans="2:16" x14ac:dyDescent="0.25">
      <c r="B249" s="144"/>
      <c r="C249" s="133"/>
      <c r="I249" s="276"/>
      <c r="J249" s="276"/>
      <c r="K249" s="276"/>
      <c r="L249" s="276"/>
      <c r="M249" s="276"/>
      <c r="N249" s="277"/>
      <c r="O249" s="277"/>
      <c r="P249" s="277"/>
    </row>
    <row r="250" spans="2:16" x14ac:dyDescent="0.25">
      <c r="B250" s="144"/>
      <c r="C250" s="133"/>
      <c r="I250" s="276"/>
      <c r="J250" s="276"/>
      <c r="K250" s="276"/>
      <c r="L250" s="276"/>
      <c r="M250" s="276"/>
      <c r="N250" s="277"/>
      <c r="O250" s="277"/>
      <c r="P250" s="277"/>
    </row>
    <row r="251" spans="2:16" x14ac:dyDescent="0.25">
      <c r="B251" s="144"/>
      <c r="C251" s="133"/>
      <c r="I251" s="276"/>
      <c r="J251" s="276"/>
      <c r="K251" s="276"/>
      <c r="L251" s="276"/>
      <c r="M251" s="276"/>
      <c r="N251" s="277"/>
      <c r="O251" s="277"/>
      <c r="P251" s="277"/>
    </row>
    <row r="252" spans="2:16" x14ac:dyDescent="0.25">
      <c r="B252" s="144"/>
      <c r="C252" s="133"/>
      <c r="I252" s="276"/>
      <c r="J252" s="276"/>
      <c r="K252" s="276"/>
      <c r="L252" s="276"/>
      <c r="M252" s="276"/>
      <c r="N252" s="277"/>
      <c r="O252" s="277"/>
      <c r="P252" s="277"/>
    </row>
    <row r="253" spans="2:16" x14ac:dyDescent="0.25">
      <c r="B253" s="144"/>
      <c r="C253" s="133"/>
      <c r="I253" s="276"/>
      <c r="J253" s="276"/>
      <c r="K253" s="276"/>
      <c r="L253" s="276"/>
      <c r="M253" s="276"/>
      <c r="N253" s="277"/>
      <c r="O253" s="277"/>
      <c r="P253" s="277"/>
    </row>
    <row r="254" spans="2:16" x14ac:dyDescent="0.25">
      <c r="B254" s="144"/>
      <c r="C254" s="133"/>
      <c r="I254" s="276"/>
      <c r="J254" s="276"/>
      <c r="K254" s="276"/>
      <c r="L254" s="276"/>
      <c r="M254" s="276"/>
      <c r="N254" s="277"/>
      <c r="O254" s="277"/>
      <c r="P254" s="277"/>
    </row>
    <row r="255" spans="2:16" x14ac:dyDescent="0.25">
      <c r="B255" s="144"/>
      <c r="C255" s="133"/>
      <c r="I255" s="276"/>
      <c r="J255" s="276"/>
      <c r="K255" s="276"/>
      <c r="L255" s="276"/>
      <c r="M255" s="276"/>
      <c r="N255" s="277"/>
      <c r="O255" s="277"/>
      <c r="P255" s="277"/>
    </row>
    <row r="256" spans="2:16" x14ac:dyDescent="0.25">
      <c r="B256" s="144"/>
      <c r="C256" s="133"/>
      <c r="I256" s="276"/>
      <c r="J256" s="276"/>
      <c r="K256" s="276"/>
      <c r="L256" s="276"/>
      <c r="M256" s="276"/>
      <c r="N256" s="277"/>
      <c r="O256" s="277"/>
      <c r="P256" s="277"/>
    </row>
    <row r="257" spans="2:16" x14ac:dyDescent="0.25">
      <c r="B257" s="144"/>
      <c r="C257" s="133"/>
      <c r="I257" s="276"/>
      <c r="J257" s="276"/>
      <c r="K257" s="276"/>
      <c r="L257" s="276"/>
      <c r="M257" s="276"/>
      <c r="N257" s="277"/>
      <c r="O257" s="277"/>
      <c r="P257" s="277"/>
    </row>
    <row r="258" spans="2:16" x14ac:dyDescent="0.25">
      <c r="B258" s="144"/>
      <c r="C258" s="133"/>
      <c r="I258" s="276"/>
      <c r="J258" s="276"/>
      <c r="K258" s="276"/>
      <c r="L258" s="276"/>
      <c r="M258" s="276"/>
      <c r="N258" s="277"/>
      <c r="O258" s="277"/>
      <c r="P258" s="277"/>
    </row>
    <row r="259" spans="2:16" x14ac:dyDescent="0.25">
      <c r="B259" s="144"/>
      <c r="C259" s="133"/>
      <c r="I259" s="276"/>
      <c r="J259" s="276"/>
      <c r="K259" s="276"/>
      <c r="L259" s="276"/>
      <c r="M259" s="276"/>
      <c r="N259" s="277"/>
      <c r="O259" s="277"/>
      <c r="P259" s="277"/>
    </row>
    <row r="260" spans="2:16" x14ac:dyDescent="0.25">
      <c r="B260" s="144"/>
      <c r="C260" s="133"/>
      <c r="I260" s="276"/>
      <c r="J260" s="276"/>
      <c r="K260" s="276"/>
      <c r="L260" s="276"/>
      <c r="M260" s="276"/>
      <c r="N260" s="277"/>
      <c r="O260" s="277"/>
      <c r="P260" s="277"/>
    </row>
    <row r="261" spans="2:16" x14ac:dyDescent="0.25">
      <c r="B261" s="144"/>
      <c r="C261" s="133"/>
      <c r="I261" s="276"/>
      <c r="J261" s="276"/>
      <c r="K261" s="276"/>
      <c r="L261" s="276"/>
      <c r="M261" s="276"/>
      <c r="N261" s="277"/>
      <c r="O261" s="277"/>
      <c r="P261" s="277"/>
    </row>
    <row r="262" spans="2:16" x14ac:dyDescent="0.25">
      <c r="B262" s="144"/>
      <c r="C262" s="133"/>
      <c r="I262" s="276"/>
      <c r="J262" s="276"/>
      <c r="K262" s="276"/>
      <c r="L262" s="276"/>
      <c r="M262" s="276"/>
      <c r="N262" s="277"/>
      <c r="O262" s="277"/>
      <c r="P262" s="277"/>
    </row>
    <row r="263" spans="2:16" x14ac:dyDescent="0.25">
      <c r="C263" s="152"/>
      <c r="I263" s="276"/>
      <c r="J263" s="276"/>
      <c r="K263" s="276"/>
      <c r="L263" s="276"/>
      <c r="M263" s="276"/>
      <c r="N263" s="277"/>
      <c r="O263" s="277"/>
      <c r="P263" s="277"/>
    </row>
    <row r="264" spans="2:16" x14ac:dyDescent="0.25">
      <c r="C264" s="152"/>
      <c r="I264" s="276"/>
      <c r="J264" s="276"/>
      <c r="K264" s="276"/>
      <c r="L264" s="276"/>
      <c r="M264" s="276"/>
      <c r="N264" s="277"/>
      <c r="O264" s="277"/>
      <c r="P264" s="277"/>
    </row>
    <row r="265" spans="2:16" x14ac:dyDescent="0.25">
      <c r="C265" s="152"/>
      <c r="I265" s="276"/>
      <c r="J265" s="276"/>
      <c r="K265" s="276"/>
      <c r="L265" s="276"/>
      <c r="M265" s="276"/>
      <c r="N265" s="277"/>
      <c r="O265" s="277"/>
      <c r="P265" s="277"/>
    </row>
    <row r="266" spans="2:16" x14ac:dyDescent="0.25">
      <c r="C266" s="152"/>
      <c r="I266" s="276"/>
      <c r="J266" s="276"/>
      <c r="K266" s="276"/>
      <c r="L266" s="276"/>
      <c r="M266" s="276"/>
      <c r="N266" s="277"/>
      <c r="O266" s="277"/>
      <c r="P266" s="277"/>
    </row>
    <row r="267" spans="2:16" x14ac:dyDescent="0.25">
      <c r="C267" s="152"/>
      <c r="I267" s="276"/>
      <c r="J267" s="276"/>
      <c r="K267" s="276"/>
      <c r="L267" s="276"/>
      <c r="M267" s="276"/>
      <c r="N267" s="277"/>
      <c r="O267" s="277"/>
      <c r="P267" s="277"/>
    </row>
    <row r="268" spans="2:16" x14ac:dyDescent="0.25">
      <c r="C268" s="152"/>
      <c r="I268" s="276"/>
      <c r="J268" s="276"/>
      <c r="K268" s="276"/>
      <c r="L268" s="276"/>
      <c r="M268" s="276"/>
      <c r="N268" s="277"/>
      <c r="O268" s="277"/>
      <c r="P268" s="277"/>
    </row>
    <row r="269" spans="2:16" x14ac:dyDescent="0.25">
      <c r="C269" s="152"/>
      <c r="I269" s="276"/>
      <c r="J269" s="276"/>
      <c r="K269" s="276"/>
      <c r="L269" s="276"/>
      <c r="M269" s="276"/>
      <c r="N269" s="277"/>
      <c r="O269" s="277"/>
      <c r="P269" s="277"/>
    </row>
    <row r="270" spans="2:16" x14ac:dyDescent="0.25">
      <c r="C270" s="152"/>
      <c r="I270" s="276"/>
      <c r="J270" s="276"/>
      <c r="K270" s="276"/>
      <c r="L270" s="276"/>
      <c r="M270" s="276"/>
      <c r="N270" s="277"/>
      <c r="O270" s="277"/>
      <c r="P270" s="277"/>
    </row>
    <row r="271" spans="2:16" x14ac:dyDescent="0.25">
      <c r="C271" s="152"/>
      <c r="I271" s="276"/>
      <c r="J271" s="276"/>
      <c r="K271" s="276"/>
      <c r="L271" s="276"/>
      <c r="M271" s="276"/>
      <c r="N271" s="277"/>
      <c r="O271" s="277"/>
      <c r="P271" s="277"/>
    </row>
    <row r="272" spans="2:16" x14ac:dyDescent="0.25">
      <c r="C272" s="152"/>
      <c r="I272" s="276"/>
      <c r="J272" s="276"/>
      <c r="K272" s="276"/>
      <c r="L272" s="276"/>
      <c r="M272" s="276"/>
      <c r="N272" s="277"/>
      <c r="O272" s="277"/>
      <c r="P272" s="277"/>
    </row>
    <row r="273" spans="3:16" x14ac:dyDescent="0.25">
      <c r="C273" s="152"/>
      <c r="I273" s="276"/>
      <c r="J273" s="276"/>
      <c r="K273" s="276"/>
      <c r="L273" s="276"/>
      <c r="M273" s="276"/>
      <c r="N273" s="277"/>
      <c r="O273" s="277"/>
      <c r="P273" s="277"/>
    </row>
    <row r="274" spans="3:16" x14ac:dyDescent="0.25">
      <c r="C274" s="152"/>
      <c r="I274" s="276"/>
      <c r="J274" s="276"/>
      <c r="K274" s="276"/>
      <c r="L274" s="276"/>
      <c r="M274" s="276"/>
      <c r="N274" s="277"/>
      <c r="O274" s="277"/>
      <c r="P274" s="277"/>
    </row>
    <row r="275" spans="3:16" x14ac:dyDescent="0.25">
      <c r="C275" s="152"/>
      <c r="I275" s="276"/>
      <c r="J275" s="276"/>
      <c r="K275" s="276"/>
      <c r="L275" s="276"/>
      <c r="M275" s="276"/>
      <c r="N275" s="277"/>
      <c r="O275" s="277"/>
      <c r="P275" s="277"/>
    </row>
    <row r="276" spans="3:16" x14ac:dyDescent="0.25">
      <c r="C276" s="152"/>
      <c r="I276" s="276"/>
      <c r="J276" s="276"/>
      <c r="K276" s="276"/>
      <c r="L276" s="276"/>
      <c r="M276" s="276"/>
      <c r="N276" s="277"/>
      <c r="O276" s="277"/>
      <c r="P276" s="277"/>
    </row>
    <row r="277" spans="3:16" x14ac:dyDescent="0.25">
      <c r="C277" s="152"/>
      <c r="I277" s="276"/>
      <c r="J277" s="276"/>
      <c r="K277" s="276"/>
      <c r="L277" s="276"/>
      <c r="M277" s="276"/>
      <c r="N277" s="277"/>
      <c r="O277" s="277"/>
      <c r="P277" s="277"/>
    </row>
    <row r="278" spans="3:16" x14ac:dyDescent="0.25">
      <c r="C278" s="152"/>
      <c r="I278" s="276"/>
      <c r="J278" s="276"/>
      <c r="K278" s="276"/>
      <c r="L278" s="276"/>
      <c r="M278" s="276"/>
      <c r="N278" s="277"/>
      <c r="O278" s="277"/>
      <c r="P278" s="277"/>
    </row>
    <row r="279" spans="3:16" x14ac:dyDescent="0.25">
      <c r="C279" s="152"/>
      <c r="I279" s="276"/>
      <c r="J279" s="276"/>
      <c r="K279" s="276"/>
      <c r="L279" s="276"/>
      <c r="M279" s="276"/>
      <c r="N279" s="277"/>
      <c r="O279" s="277"/>
      <c r="P279" s="277"/>
    </row>
    <row r="280" spans="3:16" x14ac:dyDescent="0.25">
      <c r="C280" s="152"/>
      <c r="I280" s="276"/>
      <c r="J280" s="276"/>
      <c r="K280" s="276"/>
      <c r="L280" s="276"/>
      <c r="M280" s="276"/>
      <c r="N280" s="277"/>
      <c r="O280" s="277"/>
      <c r="P280" s="277"/>
    </row>
    <row r="281" spans="3:16" x14ac:dyDescent="0.25">
      <c r="C281" s="152"/>
      <c r="I281" s="276"/>
      <c r="J281" s="276"/>
      <c r="K281" s="276"/>
      <c r="L281" s="276"/>
      <c r="M281" s="276"/>
      <c r="N281" s="277"/>
      <c r="O281" s="277"/>
      <c r="P281" s="277"/>
    </row>
    <row r="282" spans="3:16" x14ac:dyDescent="0.25">
      <c r="C282" s="152"/>
      <c r="I282" s="276"/>
      <c r="J282" s="276"/>
      <c r="K282" s="276"/>
      <c r="L282" s="276"/>
      <c r="M282" s="276"/>
      <c r="N282" s="277"/>
      <c r="O282" s="277"/>
      <c r="P282" s="277"/>
    </row>
    <row r="283" spans="3:16" x14ac:dyDescent="0.25">
      <c r="C283" s="152"/>
      <c r="I283" s="276"/>
      <c r="J283" s="276"/>
      <c r="K283" s="276"/>
      <c r="L283" s="276"/>
      <c r="M283" s="276"/>
      <c r="N283" s="277"/>
      <c r="O283" s="277"/>
      <c r="P283" s="277"/>
    </row>
    <row r="284" spans="3:16" x14ac:dyDescent="0.25">
      <c r="C284" s="152"/>
      <c r="I284" s="276"/>
      <c r="J284" s="276"/>
      <c r="K284" s="276"/>
      <c r="L284" s="276"/>
      <c r="M284" s="276"/>
      <c r="N284" s="277"/>
      <c r="O284" s="277"/>
      <c r="P284" s="277"/>
    </row>
    <row r="285" spans="3:16" x14ac:dyDescent="0.25">
      <c r="C285" s="152"/>
      <c r="I285" s="276"/>
      <c r="J285" s="276"/>
      <c r="K285" s="276"/>
      <c r="L285" s="276"/>
      <c r="M285" s="276"/>
      <c r="N285" s="277"/>
      <c r="O285" s="277"/>
      <c r="P285" s="277"/>
    </row>
    <row r="286" spans="3:16" x14ac:dyDescent="0.25">
      <c r="C286" s="152"/>
      <c r="I286" s="276"/>
      <c r="J286" s="276"/>
      <c r="K286" s="276"/>
      <c r="L286" s="276"/>
      <c r="M286" s="276"/>
      <c r="N286" s="277"/>
      <c r="O286" s="277"/>
      <c r="P286" s="277"/>
    </row>
    <row r="287" spans="3:16" x14ac:dyDescent="0.25">
      <c r="C287" s="152"/>
      <c r="I287" s="276"/>
      <c r="J287" s="276"/>
      <c r="K287" s="276"/>
      <c r="L287" s="276"/>
      <c r="M287" s="276"/>
      <c r="N287" s="277"/>
      <c r="O287" s="277"/>
      <c r="P287" s="277"/>
    </row>
    <row r="288" spans="3:16" x14ac:dyDescent="0.25">
      <c r="C288" s="152"/>
      <c r="I288" s="276"/>
      <c r="J288" s="276"/>
      <c r="K288" s="276"/>
      <c r="L288" s="276"/>
      <c r="M288" s="276"/>
      <c r="N288" s="277"/>
      <c r="O288" s="277"/>
      <c r="P288" s="277"/>
    </row>
    <row r="289" spans="3:16" x14ac:dyDescent="0.25">
      <c r="C289" s="152"/>
      <c r="I289" s="276"/>
      <c r="J289" s="276"/>
      <c r="K289" s="276"/>
      <c r="L289" s="276"/>
      <c r="M289" s="276"/>
      <c r="N289" s="277"/>
      <c r="O289" s="277"/>
      <c r="P289" s="277"/>
    </row>
    <row r="290" spans="3:16" x14ac:dyDescent="0.25">
      <c r="C290" s="152"/>
      <c r="I290" s="276"/>
      <c r="J290" s="276"/>
      <c r="K290" s="276"/>
      <c r="L290" s="276"/>
      <c r="M290" s="276"/>
      <c r="N290" s="277"/>
      <c r="O290" s="277"/>
      <c r="P290" s="277"/>
    </row>
    <row r="291" spans="3:16" x14ac:dyDescent="0.25">
      <c r="C291" s="152"/>
      <c r="I291" s="276"/>
      <c r="J291" s="276"/>
      <c r="K291" s="276"/>
      <c r="L291" s="276"/>
      <c r="M291" s="276"/>
      <c r="N291" s="277"/>
      <c r="O291" s="277"/>
      <c r="P291" s="277"/>
    </row>
    <row r="292" spans="3:16" x14ac:dyDescent="0.25">
      <c r="C292" s="152"/>
      <c r="I292" s="276"/>
      <c r="J292" s="276"/>
      <c r="K292" s="276"/>
      <c r="L292" s="276"/>
      <c r="M292" s="276"/>
      <c r="N292" s="277"/>
      <c r="O292" s="277"/>
      <c r="P292" s="277"/>
    </row>
    <row r="293" spans="3:16" x14ac:dyDescent="0.25">
      <c r="C293" s="152"/>
      <c r="I293" s="276"/>
      <c r="J293" s="276"/>
      <c r="K293" s="276"/>
      <c r="L293" s="276"/>
      <c r="M293" s="276"/>
      <c r="N293" s="277"/>
      <c r="O293" s="277"/>
      <c r="P293" s="277"/>
    </row>
    <row r="294" spans="3:16" x14ac:dyDescent="0.25">
      <c r="C294" s="152"/>
      <c r="I294" s="276"/>
      <c r="J294" s="276"/>
      <c r="K294" s="276"/>
      <c r="L294" s="276"/>
      <c r="M294" s="276"/>
      <c r="N294" s="277"/>
      <c r="O294" s="277"/>
      <c r="P294" s="277"/>
    </row>
    <row r="295" spans="3:16" x14ac:dyDescent="0.25">
      <c r="C295" s="152"/>
      <c r="I295" s="276"/>
      <c r="J295" s="276"/>
      <c r="K295" s="276"/>
      <c r="L295" s="276"/>
      <c r="M295" s="276"/>
      <c r="N295" s="277"/>
      <c r="O295" s="277"/>
      <c r="P295" s="277"/>
    </row>
    <row r="296" spans="3:16" x14ac:dyDescent="0.25">
      <c r="C296" s="152"/>
      <c r="I296" s="276"/>
      <c r="J296" s="276"/>
      <c r="K296" s="276"/>
      <c r="L296" s="276"/>
      <c r="M296" s="276"/>
      <c r="N296" s="277"/>
      <c r="O296" s="277"/>
      <c r="P296" s="277"/>
    </row>
    <row r="297" spans="3:16" x14ac:dyDescent="0.25">
      <c r="C297" s="152"/>
      <c r="I297" s="276"/>
      <c r="J297" s="276"/>
      <c r="K297" s="276"/>
      <c r="L297" s="276"/>
      <c r="M297" s="276"/>
      <c r="N297" s="277"/>
      <c r="O297" s="277"/>
      <c r="P297" s="277"/>
    </row>
    <row r="298" spans="3:16" x14ac:dyDescent="0.25">
      <c r="C298" s="152"/>
      <c r="I298" s="276"/>
      <c r="J298" s="276"/>
      <c r="K298" s="276"/>
      <c r="L298" s="276"/>
      <c r="M298" s="276"/>
      <c r="N298" s="277"/>
      <c r="O298" s="277"/>
      <c r="P298" s="277"/>
    </row>
    <row r="299" spans="3:16" x14ac:dyDescent="0.25">
      <c r="C299" s="152"/>
      <c r="I299" s="276"/>
      <c r="J299" s="276"/>
      <c r="K299" s="276"/>
      <c r="L299" s="276"/>
      <c r="M299" s="276"/>
      <c r="N299" s="277"/>
      <c r="O299" s="277"/>
      <c r="P299" s="277"/>
    </row>
    <row r="300" spans="3:16" x14ac:dyDescent="0.25">
      <c r="C300" s="152"/>
      <c r="I300" s="276"/>
      <c r="J300" s="276"/>
      <c r="K300" s="276"/>
      <c r="L300" s="276"/>
      <c r="M300" s="276"/>
      <c r="N300" s="277"/>
      <c r="O300" s="277"/>
      <c r="P300" s="277"/>
    </row>
    <row r="301" spans="3:16" x14ac:dyDescent="0.25">
      <c r="C301" s="152"/>
      <c r="I301" s="276"/>
      <c r="J301" s="276"/>
      <c r="K301" s="276"/>
      <c r="L301" s="276"/>
      <c r="M301" s="276"/>
      <c r="N301" s="277"/>
      <c r="O301" s="277"/>
      <c r="P301" s="277"/>
    </row>
    <row r="302" spans="3:16" x14ac:dyDescent="0.25">
      <c r="C302" s="152"/>
      <c r="I302" s="276"/>
      <c r="J302" s="276"/>
      <c r="K302" s="276"/>
      <c r="L302" s="276"/>
      <c r="M302" s="276"/>
      <c r="N302" s="277"/>
      <c r="O302" s="277"/>
      <c r="P302" s="277"/>
    </row>
    <row r="303" spans="3:16" x14ac:dyDescent="0.25">
      <c r="C303" s="152"/>
      <c r="I303" s="276"/>
      <c r="J303" s="276"/>
      <c r="K303" s="276"/>
      <c r="L303" s="276"/>
      <c r="M303" s="276"/>
      <c r="N303" s="277"/>
      <c r="O303" s="277"/>
      <c r="P303" s="277"/>
    </row>
    <row r="304" spans="3:16" x14ac:dyDescent="0.25">
      <c r="C304" s="152"/>
      <c r="I304" s="276"/>
      <c r="J304" s="276"/>
      <c r="K304" s="276"/>
      <c r="L304" s="276"/>
      <c r="M304" s="276"/>
      <c r="N304" s="277"/>
      <c r="O304" s="277"/>
      <c r="P304" s="277"/>
    </row>
    <row r="305" spans="3:16" x14ac:dyDescent="0.25">
      <c r="C305" s="152"/>
      <c r="I305" s="276"/>
      <c r="J305" s="276"/>
      <c r="K305" s="276"/>
      <c r="L305" s="276"/>
      <c r="M305" s="276"/>
      <c r="N305" s="277"/>
      <c r="O305" s="277"/>
      <c r="P305" s="277"/>
    </row>
    <row r="306" spans="3:16" x14ac:dyDescent="0.25">
      <c r="C306" s="152"/>
      <c r="I306" s="276"/>
      <c r="J306" s="276"/>
      <c r="K306" s="276"/>
      <c r="L306" s="276"/>
      <c r="M306" s="276"/>
      <c r="N306" s="277"/>
      <c r="O306" s="277"/>
      <c r="P306" s="277"/>
    </row>
    <row r="307" spans="3:16" x14ac:dyDescent="0.25">
      <c r="C307" s="152"/>
      <c r="I307" s="276"/>
      <c r="J307" s="276"/>
      <c r="K307" s="276"/>
      <c r="L307" s="276"/>
      <c r="M307" s="276"/>
      <c r="N307" s="277"/>
      <c r="O307" s="277"/>
      <c r="P307" s="277"/>
    </row>
    <row r="308" spans="3:16" x14ac:dyDescent="0.25">
      <c r="C308" s="152"/>
      <c r="I308" s="276"/>
      <c r="J308" s="276"/>
      <c r="K308" s="276"/>
      <c r="L308" s="276"/>
      <c r="M308" s="276"/>
      <c r="N308" s="277"/>
      <c r="O308" s="277"/>
      <c r="P308" s="277"/>
    </row>
    <row r="309" spans="3:16" x14ac:dyDescent="0.25">
      <c r="C309" s="152"/>
      <c r="I309" s="276"/>
      <c r="J309" s="276"/>
      <c r="K309" s="276"/>
      <c r="L309" s="276"/>
      <c r="M309" s="276"/>
      <c r="N309" s="277"/>
      <c r="O309" s="277"/>
      <c r="P309" s="277"/>
    </row>
    <row r="310" spans="3:16" x14ac:dyDescent="0.25">
      <c r="C310" s="152"/>
      <c r="I310" s="276"/>
      <c r="J310" s="276"/>
      <c r="K310" s="276"/>
      <c r="L310" s="276"/>
      <c r="M310" s="276"/>
      <c r="N310" s="277"/>
      <c r="O310" s="277"/>
      <c r="P310" s="277"/>
    </row>
    <row r="311" spans="3:16" x14ac:dyDescent="0.25">
      <c r="C311" s="152"/>
      <c r="I311" s="276"/>
      <c r="J311" s="276"/>
      <c r="K311" s="276"/>
      <c r="L311" s="276"/>
      <c r="M311" s="276"/>
      <c r="N311" s="277"/>
      <c r="O311" s="277"/>
      <c r="P311" s="277"/>
    </row>
    <row r="312" spans="3:16" x14ac:dyDescent="0.25">
      <c r="C312" s="152"/>
      <c r="I312" s="276"/>
      <c r="J312" s="276"/>
      <c r="K312" s="276"/>
      <c r="L312" s="276"/>
      <c r="M312" s="276"/>
      <c r="N312" s="277"/>
      <c r="O312" s="277"/>
      <c r="P312" s="277"/>
    </row>
    <row r="313" spans="3:16" x14ac:dyDescent="0.25">
      <c r="C313" s="152"/>
      <c r="I313" s="276"/>
      <c r="J313" s="276"/>
      <c r="K313" s="276"/>
      <c r="L313" s="276"/>
      <c r="M313" s="276"/>
      <c r="N313" s="277"/>
      <c r="O313" s="277"/>
      <c r="P313" s="277"/>
    </row>
    <row r="314" spans="3:16" x14ac:dyDescent="0.25">
      <c r="C314" s="152"/>
      <c r="I314" s="276"/>
      <c r="J314" s="276"/>
      <c r="K314" s="276"/>
      <c r="L314" s="276"/>
      <c r="M314" s="276"/>
      <c r="N314" s="277"/>
      <c r="O314" s="277"/>
      <c r="P314" s="277"/>
    </row>
    <row r="315" spans="3:16" x14ac:dyDescent="0.25">
      <c r="C315" s="152"/>
      <c r="I315" s="276"/>
      <c r="J315" s="276"/>
      <c r="K315" s="276"/>
      <c r="L315" s="276"/>
      <c r="M315" s="276"/>
      <c r="N315" s="277"/>
      <c r="O315" s="277"/>
      <c r="P315" s="277"/>
    </row>
    <row r="316" spans="3:16" x14ac:dyDescent="0.25">
      <c r="C316" s="152"/>
      <c r="I316" s="276"/>
      <c r="J316" s="276"/>
      <c r="K316" s="276"/>
      <c r="L316" s="276"/>
      <c r="M316" s="276"/>
      <c r="N316" s="277"/>
      <c r="O316" s="277"/>
      <c r="P316" s="277"/>
    </row>
    <row r="317" spans="3:16" x14ac:dyDescent="0.25">
      <c r="C317" s="152"/>
      <c r="I317" s="276"/>
      <c r="J317" s="276"/>
      <c r="K317" s="276"/>
      <c r="L317" s="276"/>
      <c r="M317" s="276"/>
      <c r="N317" s="277"/>
      <c r="O317" s="277"/>
      <c r="P317" s="277"/>
    </row>
    <row r="318" spans="3:16" x14ac:dyDescent="0.25">
      <c r="C318" s="152"/>
      <c r="I318" s="276"/>
      <c r="J318" s="276"/>
      <c r="K318" s="276"/>
      <c r="L318" s="276"/>
      <c r="M318" s="276"/>
      <c r="N318" s="277"/>
      <c r="O318" s="277"/>
      <c r="P318" s="277"/>
    </row>
    <row r="319" spans="3:16" x14ac:dyDescent="0.25">
      <c r="C319" s="152"/>
      <c r="I319" s="276"/>
      <c r="J319" s="276"/>
      <c r="K319" s="276"/>
      <c r="L319" s="276"/>
      <c r="M319" s="276"/>
      <c r="N319" s="277"/>
      <c r="O319" s="277"/>
      <c r="P319" s="277"/>
    </row>
    <row r="320" spans="3:16" x14ac:dyDescent="0.25">
      <c r="C320" s="152"/>
      <c r="I320" s="276"/>
      <c r="J320" s="276"/>
      <c r="K320" s="276"/>
      <c r="L320" s="276"/>
      <c r="M320" s="276"/>
      <c r="N320" s="277"/>
      <c r="O320" s="277"/>
      <c r="P320" s="277"/>
    </row>
    <row r="321" spans="3:16" x14ac:dyDescent="0.25">
      <c r="C321" s="152"/>
      <c r="I321" s="276"/>
      <c r="J321" s="276"/>
      <c r="K321" s="276"/>
      <c r="L321" s="276"/>
      <c r="M321" s="276"/>
      <c r="N321" s="277"/>
      <c r="O321" s="277"/>
      <c r="P321" s="277"/>
    </row>
    <row r="322" spans="3:16" x14ac:dyDescent="0.25">
      <c r="C322" s="152"/>
      <c r="I322" s="276"/>
      <c r="J322" s="276"/>
      <c r="K322" s="276"/>
      <c r="L322" s="276"/>
      <c r="M322" s="276"/>
      <c r="N322" s="277"/>
      <c r="O322" s="277"/>
      <c r="P322" s="277"/>
    </row>
    <row r="323" spans="3:16" x14ac:dyDescent="0.25">
      <c r="C323" s="152"/>
      <c r="I323" s="276"/>
      <c r="J323" s="276"/>
      <c r="K323" s="276"/>
      <c r="L323" s="276"/>
      <c r="M323" s="276"/>
      <c r="N323" s="277"/>
      <c r="O323" s="277"/>
      <c r="P323" s="277"/>
    </row>
    <row r="324" spans="3:16" x14ac:dyDescent="0.25">
      <c r="C324" s="152"/>
      <c r="I324" s="276"/>
      <c r="J324" s="276"/>
      <c r="K324" s="276"/>
      <c r="L324" s="276"/>
      <c r="M324" s="276"/>
      <c r="N324" s="277"/>
      <c r="O324" s="277"/>
      <c r="P324" s="277"/>
    </row>
    <row r="325" spans="3:16" x14ac:dyDescent="0.25">
      <c r="C325" s="152"/>
      <c r="I325" s="276"/>
      <c r="J325" s="276"/>
      <c r="K325" s="276"/>
      <c r="L325" s="276"/>
      <c r="M325" s="276"/>
      <c r="N325" s="277"/>
      <c r="O325" s="277"/>
      <c r="P325" s="277"/>
    </row>
    <row r="326" spans="3:16" x14ac:dyDescent="0.25">
      <c r="C326" s="152"/>
      <c r="I326" s="276"/>
      <c r="J326" s="276"/>
      <c r="K326" s="276"/>
      <c r="L326" s="276"/>
      <c r="M326" s="276"/>
      <c r="N326" s="277"/>
      <c r="O326" s="277"/>
      <c r="P326" s="277"/>
    </row>
    <row r="327" spans="3:16" x14ac:dyDescent="0.25">
      <c r="C327" s="152"/>
      <c r="I327" s="276"/>
      <c r="J327" s="276"/>
      <c r="K327" s="276"/>
      <c r="L327" s="276"/>
      <c r="M327" s="276"/>
      <c r="N327" s="277"/>
      <c r="O327" s="277"/>
      <c r="P327" s="277"/>
    </row>
    <row r="328" spans="3:16" x14ac:dyDescent="0.25">
      <c r="C328" s="152"/>
      <c r="I328" s="276"/>
      <c r="J328" s="276"/>
      <c r="K328" s="276"/>
      <c r="L328" s="276"/>
      <c r="M328" s="276"/>
      <c r="N328" s="277"/>
      <c r="O328" s="277"/>
      <c r="P328" s="277"/>
    </row>
    <row r="329" spans="3:16" x14ac:dyDescent="0.25">
      <c r="C329" s="152"/>
      <c r="I329" s="276"/>
      <c r="J329" s="276"/>
      <c r="K329" s="276"/>
      <c r="L329" s="276"/>
      <c r="M329" s="276"/>
      <c r="N329" s="277"/>
      <c r="O329" s="277"/>
      <c r="P329" s="277"/>
    </row>
    <row r="330" spans="3:16" x14ac:dyDescent="0.25">
      <c r="I330" s="276"/>
      <c r="J330" s="276"/>
      <c r="K330" s="276"/>
      <c r="L330" s="276"/>
      <c r="M330" s="276"/>
      <c r="N330" s="277"/>
      <c r="O330" s="277"/>
      <c r="P330" s="277"/>
    </row>
    <row r="331" spans="3:16" x14ac:dyDescent="0.25">
      <c r="I331" s="276"/>
      <c r="J331" s="276"/>
      <c r="K331" s="276"/>
      <c r="L331" s="276"/>
      <c r="M331" s="276"/>
      <c r="N331" s="277"/>
      <c r="O331" s="277"/>
      <c r="P331" s="277"/>
    </row>
    <row r="332" spans="3:16" x14ac:dyDescent="0.25">
      <c r="I332" s="276"/>
      <c r="J332" s="276"/>
      <c r="K332" s="276"/>
      <c r="L332" s="276"/>
      <c r="M332" s="276"/>
      <c r="N332" s="277"/>
      <c r="O332" s="277"/>
      <c r="P332" s="277"/>
    </row>
    <row r="333" spans="3:16" x14ac:dyDescent="0.25">
      <c r="I333" s="276"/>
      <c r="J333" s="276"/>
      <c r="K333" s="276"/>
      <c r="L333" s="276"/>
      <c r="M333" s="276"/>
      <c r="N333" s="277"/>
      <c r="O333" s="277"/>
      <c r="P333" s="277"/>
    </row>
    <row r="334" spans="3:16" x14ac:dyDescent="0.25">
      <c r="I334" s="276"/>
      <c r="J334" s="276"/>
      <c r="K334" s="276"/>
      <c r="L334" s="276"/>
      <c r="M334" s="276"/>
      <c r="N334" s="277"/>
      <c r="O334" s="277"/>
      <c r="P334" s="277"/>
    </row>
    <row r="335" spans="3:16" x14ac:dyDescent="0.25">
      <c r="I335" s="276"/>
      <c r="J335" s="276"/>
      <c r="K335" s="276"/>
      <c r="L335" s="276"/>
      <c r="M335" s="276"/>
      <c r="N335" s="277"/>
      <c r="O335" s="277"/>
      <c r="P335" s="277"/>
    </row>
    <row r="336" spans="3:16" x14ac:dyDescent="0.25">
      <c r="I336" s="276"/>
      <c r="J336" s="276"/>
      <c r="K336" s="276"/>
      <c r="L336" s="276"/>
      <c r="M336" s="276"/>
      <c r="N336" s="277"/>
      <c r="O336" s="277"/>
      <c r="P336" s="277"/>
    </row>
    <row r="337" spans="9:16" x14ac:dyDescent="0.25">
      <c r="I337" s="276"/>
      <c r="J337" s="276"/>
      <c r="K337" s="276"/>
      <c r="L337" s="276"/>
      <c r="M337" s="276"/>
      <c r="N337" s="277"/>
      <c r="O337" s="277"/>
      <c r="P337" s="277"/>
    </row>
    <row r="338" spans="9:16" x14ac:dyDescent="0.25">
      <c r="I338" s="276"/>
      <c r="J338" s="276"/>
      <c r="K338" s="276"/>
      <c r="L338" s="276"/>
      <c r="M338" s="276"/>
      <c r="N338" s="277"/>
      <c r="O338" s="277"/>
      <c r="P338" s="277"/>
    </row>
    <row r="339" spans="9:16" x14ac:dyDescent="0.25">
      <c r="I339" s="276"/>
      <c r="J339" s="276"/>
      <c r="K339" s="276"/>
      <c r="L339" s="276"/>
      <c r="M339" s="276"/>
      <c r="N339" s="277"/>
      <c r="O339" s="277"/>
      <c r="P339" s="277"/>
    </row>
    <row r="340" spans="9:16" x14ac:dyDescent="0.25">
      <c r="I340" s="276"/>
      <c r="J340" s="276"/>
      <c r="K340" s="276"/>
      <c r="L340" s="276"/>
      <c r="M340" s="276"/>
      <c r="N340" s="277"/>
      <c r="O340" s="277"/>
      <c r="P340" s="277"/>
    </row>
    <row r="341" spans="9:16" x14ac:dyDescent="0.25">
      <c r="I341" s="276"/>
      <c r="J341" s="276"/>
      <c r="K341" s="276"/>
      <c r="L341" s="276"/>
      <c r="M341" s="276"/>
      <c r="N341" s="277"/>
      <c r="O341" s="277"/>
      <c r="P341" s="277"/>
    </row>
    <row r="342" spans="9:16" x14ac:dyDescent="0.25">
      <c r="I342" s="276"/>
      <c r="J342" s="276"/>
      <c r="K342" s="276"/>
      <c r="L342" s="276"/>
      <c r="M342" s="276"/>
      <c r="N342" s="277"/>
      <c r="O342" s="277"/>
      <c r="P342" s="277"/>
    </row>
    <row r="343" spans="9:16" x14ac:dyDescent="0.25">
      <c r="I343" s="276"/>
      <c r="J343" s="276"/>
      <c r="K343" s="276"/>
      <c r="L343" s="276"/>
      <c r="M343" s="276"/>
      <c r="N343" s="277"/>
      <c r="O343" s="277"/>
      <c r="P343" s="277"/>
    </row>
    <row r="344" spans="9:16" x14ac:dyDescent="0.25">
      <c r="I344" s="276"/>
      <c r="J344" s="276"/>
      <c r="K344" s="276"/>
      <c r="L344" s="276"/>
      <c r="M344" s="276"/>
      <c r="N344" s="277"/>
      <c r="O344" s="277"/>
      <c r="P344" s="277"/>
    </row>
    <row r="345" spans="9:16" x14ac:dyDescent="0.25">
      <c r="I345" s="276"/>
      <c r="J345" s="276"/>
      <c r="K345" s="276"/>
      <c r="L345" s="276"/>
      <c r="M345" s="276"/>
      <c r="N345" s="277"/>
      <c r="O345" s="277"/>
      <c r="P345" s="277"/>
    </row>
    <row r="346" spans="9:16" x14ac:dyDescent="0.25">
      <c r="I346" s="276"/>
      <c r="J346" s="276"/>
      <c r="K346" s="276"/>
      <c r="L346" s="276"/>
      <c r="M346" s="276"/>
      <c r="N346" s="277"/>
      <c r="O346" s="277"/>
      <c r="P346" s="277"/>
    </row>
    <row r="347" spans="9:16" x14ac:dyDescent="0.25">
      <c r="I347" s="276"/>
      <c r="J347" s="276"/>
      <c r="K347" s="276"/>
      <c r="L347" s="276"/>
      <c r="M347" s="276"/>
      <c r="N347" s="277"/>
      <c r="O347" s="277"/>
      <c r="P347" s="277"/>
    </row>
    <row r="348" spans="9:16" x14ac:dyDescent="0.25">
      <c r="I348" s="276"/>
      <c r="J348" s="276"/>
      <c r="K348" s="276"/>
      <c r="L348" s="276"/>
      <c r="M348" s="276"/>
      <c r="N348" s="277"/>
      <c r="O348" s="277"/>
      <c r="P348" s="277"/>
    </row>
    <row r="349" spans="9:16" x14ac:dyDescent="0.25">
      <c r="I349" s="276"/>
      <c r="J349" s="276"/>
      <c r="K349" s="276"/>
      <c r="L349" s="276"/>
      <c r="M349" s="276"/>
      <c r="N349" s="277"/>
      <c r="O349" s="277"/>
      <c r="P349" s="277"/>
    </row>
    <row r="350" spans="9:16" x14ac:dyDescent="0.25">
      <c r="I350" s="276"/>
      <c r="J350" s="276"/>
      <c r="K350" s="276"/>
      <c r="L350" s="276"/>
      <c r="M350" s="276"/>
      <c r="N350" s="277"/>
      <c r="O350" s="277"/>
      <c r="P350" s="277"/>
    </row>
    <row r="351" spans="9:16" x14ac:dyDescent="0.25">
      <c r="I351" s="276"/>
      <c r="J351" s="276"/>
      <c r="K351" s="276"/>
      <c r="L351" s="276"/>
      <c r="M351" s="276"/>
      <c r="N351" s="277"/>
      <c r="O351" s="277"/>
      <c r="P351" s="277"/>
    </row>
    <row r="352" spans="9:16" x14ac:dyDescent="0.25">
      <c r="I352" s="276"/>
      <c r="J352" s="276"/>
      <c r="K352" s="276"/>
      <c r="L352" s="276"/>
      <c r="M352" s="276"/>
      <c r="N352" s="277"/>
      <c r="O352" s="277"/>
      <c r="P352" s="277"/>
    </row>
    <row r="353" spans="9:16" x14ac:dyDescent="0.25">
      <c r="I353" s="276"/>
      <c r="J353" s="276"/>
      <c r="K353" s="276"/>
      <c r="L353" s="276"/>
      <c r="M353" s="276"/>
      <c r="N353" s="277"/>
      <c r="O353" s="277"/>
      <c r="P353" s="277"/>
    </row>
    <row r="354" spans="9:16" x14ac:dyDescent="0.25">
      <c r="I354" s="276"/>
      <c r="J354" s="276"/>
      <c r="K354" s="276"/>
      <c r="L354" s="276"/>
      <c r="M354" s="276"/>
      <c r="N354" s="277"/>
      <c r="O354" s="277"/>
      <c r="P354" s="277"/>
    </row>
    <row r="355" spans="9:16" x14ac:dyDescent="0.25">
      <c r="I355" s="276"/>
      <c r="J355" s="276"/>
      <c r="K355" s="276"/>
      <c r="L355" s="276"/>
      <c r="M355" s="276"/>
      <c r="N355" s="277"/>
      <c r="O355" s="277"/>
      <c r="P355" s="277"/>
    </row>
    <row r="356" spans="9:16" x14ac:dyDescent="0.25">
      <c r="I356" s="276"/>
      <c r="J356" s="276"/>
      <c r="K356" s="276"/>
      <c r="L356" s="276"/>
      <c r="M356" s="276"/>
      <c r="N356" s="277"/>
      <c r="O356" s="277"/>
      <c r="P356" s="277"/>
    </row>
    <row r="357" spans="9:16" x14ac:dyDescent="0.25">
      <c r="I357" s="276"/>
      <c r="J357" s="276"/>
      <c r="K357" s="276"/>
      <c r="L357" s="276"/>
      <c r="M357" s="276"/>
      <c r="N357" s="277"/>
      <c r="O357" s="277"/>
      <c r="P357" s="277"/>
    </row>
    <row r="358" spans="9:16" x14ac:dyDescent="0.25">
      <c r="I358" s="276"/>
      <c r="J358" s="276"/>
      <c r="K358" s="276"/>
      <c r="L358" s="276"/>
      <c r="M358" s="276"/>
      <c r="N358" s="277"/>
      <c r="O358" s="277"/>
      <c r="P358" s="277"/>
    </row>
    <row r="359" spans="9:16" x14ac:dyDescent="0.25">
      <c r="I359" s="276"/>
      <c r="J359" s="276"/>
      <c r="K359" s="276"/>
      <c r="L359" s="276"/>
      <c r="M359" s="276"/>
      <c r="N359" s="277"/>
      <c r="O359" s="277"/>
      <c r="P359" s="277"/>
    </row>
    <row r="360" spans="9:16" x14ac:dyDescent="0.25">
      <c r="I360" s="276"/>
      <c r="J360" s="276"/>
      <c r="K360" s="276"/>
      <c r="L360" s="276"/>
      <c r="M360" s="276"/>
      <c r="N360" s="277"/>
      <c r="O360" s="277"/>
      <c r="P360" s="277"/>
    </row>
    <row r="361" spans="9:16" x14ac:dyDescent="0.25">
      <c r="I361" s="276"/>
      <c r="J361" s="276"/>
      <c r="K361" s="276"/>
      <c r="L361" s="276"/>
      <c r="M361" s="276"/>
      <c r="N361" s="277"/>
      <c r="O361" s="277"/>
      <c r="P361" s="277"/>
    </row>
    <row r="362" spans="9:16" x14ac:dyDescent="0.25">
      <c r="I362" s="276"/>
      <c r="J362" s="276"/>
      <c r="K362" s="276"/>
      <c r="L362" s="276"/>
      <c r="M362" s="276"/>
      <c r="N362" s="277"/>
      <c r="O362" s="277"/>
      <c r="P362" s="277"/>
    </row>
    <row r="363" spans="9:16" x14ac:dyDescent="0.25">
      <c r="I363" s="276"/>
      <c r="J363" s="276"/>
      <c r="K363" s="276"/>
      <c r="L363" s="276"/>
      <c r="M363" s="276"/>
      <c r="N363" s="277"/>
      <c r="O363" s="277"/>
      <c r="P363" s="277"/>
    </row>
    <row r="364" spans="9:16" x14ac:dyDescent="0.25">
      <c r="I364" s="276"/>
      <c r="J364" s="276"/>
      <c r="K364" s="276"/>
      <c r="L364" s="276"/>
      <c r="M364" s="276"/>
      <c r="N364" s="277"/>
      <c r="O364" s="277"/>
      <c r="P364" s="277"/>
    </row>
    <row r="365" spans="9:16" x14ac:dyDescent="0.25">
      <c r="I365" s="276"/>
      <c r="J365" s="276"/>
      <c r="K365" s="276"/>
      <c r="L365" s="276"/>
      <c r="M365" s="276"/>
      <c r="N365" s="277"/>
      <c r="O365" s="277"/>
      <c r="P365" s="277"/>
    </row>
    <row r="366" spans="9:16" x14ac:dyDescent="0.25">
      <c r="I366" s="276"/>
      <c r="J366" s="276"/>
      <c r="K366" s="276"/>
      <c r="L366" s="276"/>
      <c r="M366" s="276"/>
      <c r="N366" s="277"/>
      <c r="O366" s="277"/>
      <c r="P366" s="277"/>
    </row>
    <row r="367" spans="9:16" x14ac:dyDescent="0.25">
      <c r="I367" s="276"/>
      <c r="J367" s="276"/>
      <c r="K367" s="276"/>
      <c r="L367" s="276"/>
      <c r="M367" s="276"/>
      <c r="N367" s="277"/>
      <c r="O367" s="277"/>
      <c r="P367" s="277"/>
    </row>
    <row r="368" spans="9:16" x14ac:dyDescent="0.25">
      <c r="I368" s="276"/>
      <c r="J368" s="276"/>
      <c r="K368" s="276"/>
      <c r="L368" s="276"/>
      <c r="M368" s="276"/>
      <c r="N368" s="277"/>
      <c r="O368" s="277"/>
      <c r="P368" s="277"/>
    </row>
    <row r="369" spans="9:16" x14ac:dyDescent="0.25">
      <c r="I369" s="276"/>
      <c r="J369" s="276"/>
      <c r="K369" s="276"/>
      <c r="L369" s="276"/>
      <c r="M369" s="276"/>
      <c r="N369" s="277"/>
      <c r="O369" s="277"/>
      <c r="P369" s="277"/>
    </row>
    <row r="370" spans="9:16" x14ac:dyDescent="0.25">
      <c r="I370" s="276"/>
      <c r="J370" s="276"/>
      <c r="K370" s="276"/>
      <c r="L370" s="276"/>
      <c r="M370" s="276"/>
      <c r="N370" s="277"/>
      <c r="O370" s="277"/>
      <c r="P370" s="277"/>
    </row>
    <row r="371" spans="9:16" x14ac:dyDescent="0.25">
      <c r="I371" s="276"/>
      <c r="J371" s="276"/>
      <c r="K371" s="276"/>
      <c r="L371" s="276"/>
      <c r="M371" s="276"/>
      <c r="N371" s="277"/>
      <c r="O371" s="277"/>
      <c r="P371" s="277"/>
    </row>
    <row r="372" spans="9:16" x14ac:dyDescent="0.25">
      <c r="I372" s="276"/>
      <c r="J372" s="276"/>
      <c r="K372" s="276"/>
      <c r="L372" s="276"/>
      <c r="M372" s="276"/>
      <c r="N372" s="277"/>
      <c r="O372" s="277"/>
      <c r="P372" s="277"/>
    </row>
    <row r="373" spans="9:16" x14ac:dyDescent="0.25">
      <c r="I373" s="276"/>
      <c r="J373" s="276"/>
      <c r="K373" s="276"/>
      <c r="L373" s="276"/>
      <c r="M373" s="276"/>
      <c r="N373" s="277"/>
      <c r="O373" s="277"/>
      <c r="P373" s="277"/>
    </row>
    <row r="374" spans="9:16" x14ac:dyDescent="0.25">
      <c r="I374" s="276"/>
      <c r="J374" s="276"/>
      <c r="K374" s="276"/>
      <c r="L374" s="276"/>
      <c r="M374" s="276"/>
      <c r="N374" s="277"/>
      <c r="O374" s="277"/>
      <c r="P374" s="277"/>
    </row>
    <row r="375" spans="9:16" x14ac:dyDescent="0.25">
      <c r="I375" s="276"/>
      <c r="J375" s="276"/>
      <c r="K375" s="276"/>
      <c r="L375" s="276"/>
      <c r="M375" s="276"/>
      <c r="N375" s="277"/>
      <c r="O375" s="277"/>
      <c r="P375" s="277"/>
    </row>
    <row r="376" spans="9:16" x14ac:dyDescent="0.25">
      <c r="I376" s="276"/>
      <c r="J376" s="276"/>
      <c r="K376" s="276"/>
      <c r="L376" s="276"/>
      <c r="M376" s="276"/>
      <c r="N376" s="277"/>
      <c r="O376" s="277"/>
      <c r="P376" s="277"/>
    </row>
    <row r="377" spans="9:16" x14ac:dyDescent="0.25">
      <c r="I377" s="276"/>
      <c r="J377" s="276"/>
      <c r="K377" s="276"/>
      <c r="L377" s="276"/>
      <c r="M377" s="276"/>
      <c r="N377" s="277"/>
      <c r="O377" s="277"/>
      <c r="P377" s="277"/>
    </row>
    <row r="378" spans="9:16" x14ac:dyDescent="0.25">
      <c r="I378" s="276"/>
      <c r="J378" s="276"/>
      <c r="K378" s="276"/>
      <c r="L378" s="276"/>
      <c r="M378" s="276"/>
      <c r="N378" s="277"/>
      <c r="O378" s="277"/>
      <c r="P378" s="277"/>
    </row>
    <row r="379" spans="9:16" x14ac:dyDescent="0.25">
      <c r="I379" s="276"/>
      <c r="J379" s="276"/>
      <c r="K379" s="276"/>
      <c r="L379" s="276"/>
      <c r="M379" s="276"/>
      <c r="N379" s="277"/>
      <c r="O379" s="277"/>
      <c r="P379" s="277"/>
    </row>
    <row r="380" spans="9:16" x14ac:dyDescent="0.25">
      <c r="I380" s="276"/>
      <c r="J380" s="276"/>
      <c r="K380" s="276"/>
      <c r="L380" s="276"/>
      <c r="M380" s="276"/>
      <c r="N380" s="277"/>
      <c r="O380" s="277"/>
      <c r="P380" s="277"/>
    </row>
    <row r="381" spans="9:16" x14ac:dyDescent="0.25">
      <c r="I381" s="276"/>
      <c r="J381" s="276"/>
      <c r="K381" s="276"/>
      <c r="L381" s="276"/>
      <c r="M381" s="276"/>
      <c r="N381" s="277"/>
      <c r="O381" s="277"/>
      <c r="P381" s="277"/>
    </row>
    <row r="382" spans="9:16" x14ac:dyDescent="0.25">
      <c r="I382" s="276"/>
      <c r="J382" s="276"/>
      <c r="K382" s="276"/>
      <c r="L382" s="276"/>
      <c r="M382" s="276"/>
      <c r="N382" s="277"/>
      <c r="O382" s="277"/>
      <c r="P382" s="277"/>
    </row>
    <row r="383" spans="9:16" x14ac:dyDescent="0.25">
      <c r="I383" s="276"/>
      <c r="J383" s="276"/>
      <c r="K383" s="276"/>
      <c r="L383" s="276"/>
      <c r="M383" s="276"/>
      <c r="N383" s="277"/>
      <c r="O383" s="277"/>
      <c r="P383" s="277"/>
    </row>
    <row r="384" spans="9:16" x14ac:dyDescent="0.25">
      <c r="I384" s="276"/>
      <c r="J384" s="276"/>
      <c r="K384" s="276"/>
      <c r="L384" s="276"/>
      <c r="M384" s="276"/>
      <c r="N384" s="277"/>
      <c r="O384" s="277"/>
      <c r="P384" s="277"/>
    </row>
    <row r="385" spans="9:16" x14ac:dyDescent="0.25">
      <c r="I385" s="276"/>
      <c r="J385" s="276"/>
      <c r="K385" s="276"/>
      <c r="L385" s="276"/>
      <c r="M385" s="276"/>
      <c r="N385" s="277"/>
      <c r="O385" s="277"/>
      <c r="P385" s="277"/>
    </row>
    <row r="386" spans="9:16" x14ac:dyDescent="0.25">
      <c r="I386" s="276"/>
      <c r="J386" s="276"/>
      <c r="K386" s="276"/>
      <c r="L386" s="276"/>
      <c r="M386" s="276"/>
      <c r="N386" s="277"/>
      <c r="O386" s="277"/>
      <c r="P386" s="277"/>
    </row>
    <row r="387" spans="9:16" x14ac:dyDescent="0.25">
      <c r="I387" s="276"/>
      <c r="J387" s="276"/>
      <c r="K387" s="276"/>
      <c r="L387" s="276"/>
      <c r="M387" s="276"/>
      <c r="N387" s="277"/>
      <c r="O387" s="277"/>
      <c r="P387" s="277"/>
    </row>
    <row r="388" spans="9:16" x14ac:dyDescent="0.25">
      <c r="I388" s="276"/>
      <c r="J388" s="276"/>
      <c r="K388" s="276"/>
      <c r="L388" s="276"/>
      <c r="M388" s="276"/>
      <c r="N388" s="277"/>
      <c r="O388" s="277"/>
      <c r="P388" s="277"/>
    </row>
    <row r="389" spans="9:16" x14ac:dyDescent="0.25">
      <c r="I389" s="276"/>
      <c r="J389" s="276"/>
      <c r="K389" s="276"/>
      <c r="L389" s="276"/>
      <c r="M389" s="276"/>
      <c r="N389" s="277"/>
      <c r="O389" s="277"/>
      <c r="P389" s="277"/>
    </row>
    <row r="390" spans="9:16" x14ac:dyDescent="0.25">
      <c r="I390" s="276"/>
      <c r="J390" s="276"/>
      <c r="K390" s="276"/>
      <c r="L390" s="276"/>
      <c r="M390" s="276"/>
      <c r="N390" s="277"/>
      <c r="O390" s="277"/>
      <c r="P390" s="277"/>
    </row>
    <row r="391" spans="9:16" x14ac:dyDescent="0.25">
      <c r="I391" s="276"/>
      <c r="J391" s="276"/>
      <c r="K391" s="276"/>
      <c r="L391" s="276"/>
      <c r="M391" s="276"/>
      <c r="N391" s="277"/>
      <c r="O391" s="277"/>
      <c r="P391" s="277"/>
    </row>
    <row r="392" spans="9:16" x14ac:dyDescent="0.25">
      <c r="I392" s="276"/>
      <c r="J392" s="276"/>
      <c r="K392" s="276"/>
      <c r="L392" s="276"/>
      <c r="M392" s="276"/>
      <c r="N392" s="277"/>
      <c r="O392" s="277"/>
      <c r="P392" s="277"/>
    </row>
    <row r="393" spans="9:16" x14ac:dyDescent="0.25">
      <c r="I393" s="276"/>
      <c r="J393" s="276"/>
      <c r="K393" s="276"/>
      <c r="L393" s="276"/>
      <c r="M393" s="276"/>
      <c r="N393" s="277"/>
      <c r="O393" s="277"/>
      <c r="P393" s="277"/>
    </row>
    <row r="394" spans="9:16" x14ac:dyDescent="0.25">
      <c r="I394" s="276"/>
      <c r="J394" s="276"/>
      <c r="K394" s="276"/>
      <c r="L394" s="276"/>
    </row>
    <row r="395" spans="9:16" x14ac:dyDescent="0.25">
      <c r="I395" s="276"/>
      <c r="J395" s="276"/>
      <c r="K395" s="276"/>
      <c r="L395" s="276"/>
    </row>
    <row r="396" spans="9:16" x14ac:dyDescent="0.25">
      <c r="I396" s="276"/>
      <c r="J396" s="276"/>
      <c r="K396" s="276"/>
      <c r="L396" s="276"/>
    </row>
    <row r="397" spans="9:16" x14ac:dyDescent="0.25">
      <c r="I397" s="276"/>
      <c r="J397" s="276"/>
      <c r="K397" s="276"/>
      <c r="L397" s="276"/>
    </row>
    <row r="398" spans="9:16" x14ac:dyDescent="0.25">
      <c r="I398" s="276"/>
      <c r="J398" s="276"/>
      <c r="K398" s="276"/>
      <c r="L398" s="276"/>
    </row>
    <row r="399" spans="9:16" x14ac:dyDescent="0.25">
      <c r="I399" s="276"/>
      <c r="J399" s="276"/>
      <c r="K399" s="276"/>
      <c r="L399" s="276"/>
    </row>
    <row r="400" spans="9:16" x14ac:dyDescent="0.25">
      <c r="I400" s="276"/>
      <c r="J400" s="276"/>
      <c r="K400" s="276"/>
      <c r="L400" s="276"/>
    </row>
    <row r="401" spans="9:12" x14ac:dyDescent="0.25">
      <c r="I401" s="276"/>
      <c r="J401" s="276"/>
      <c r="K401" s="276"/>
      <c r="L401" s="276"/>
    </row>
    <row r="402" spans="9:12" x14ac:dyDescent="0.25">
      <c r="I402" s="276"/>
      <c r="J402" s="276"/>
      <c r="K402" s="276"/>
      <c r="L402" s="276"/>
    </row>
    <row r="403" spans="9:12" x14ac:dyDescent="0.25">
      <c r="I403" s="276"/>
      <c r="J403" s="276"/>
      <c r="K403" s="276"/>
      <c r="L403" s="276"/>
    </row>
    <row r="404" spans="9:12" x14ac:dyDescent="0.25">
      <c r="I404" s="276"/>
      <c r="J404" s="276"/>
      <c r="K404" s="276"/>
      <c r="L404" s="276"/>
    </row>
    <row r="405" spans="9:12" x14ac:dyDescent="0.25">
      <c r="I405" s="276"/>
      <c r="J405" s="276"/>
      <c r="K405" s="276"/>
      <c r="L405" s="276"/>
    </row>
    <row r="406" spans="9:12" x14ac:dyDescent="0.25">
      <c r="I406" s="276"/>
      <c r="J406" s="276"/>
      <c r="K406" s="276"/>
      <c r="L406" s="276"/>
    </row>
    <row r="407" spans="9:12" x14ac:dyDescent="0.25">
      <c r="I407" s="276"/>
      <c r="J407" s="276"/>
      <c r="K407" s="276"/>
      <c r="L407" s="276"/>
    </row>
    <row r="408" spans="9:12" x14ac:dyDescent="0.25">
      <c r="I408" s="276"/>
      <c r="J408" s="276"/>
      <c r="K408" s="276"/>
      <c r="L408" s="276"/>
    </row>
    <row r="409" spans="9:12" x14ac:dyDescent="0.25">
      <c r="I409" s="276"/>
      <c r="J409" s="276"/>
      <c r="K409" s="276"/>
      <c r="L409" s="276"/>
    </row>
    <row r="410" spans="9:12" x14ac:dyDescent="0.25">
      <c r="I410" s="276"/>
      <c r="J410" s="276"/>
      <c r="K410" s="276"/>
      <c r="L410" s="276"/>
    </row>
    <row r="411" spans="9:12" x14ac:dyDescent="0.25">
      <c r="I411" s="276"/>
      <c r="J411" s="276"/>
      <c r="K411" s="276"/>
      <c r="L411" s="276"/>
    </row>
  </sheetData>
  <mergeCells count="18">
    <mergeCell ref="F1:I1"/>
    <mergeCell ref="N1:P1"/>
    <mergeCell ref="A2:B2"/>
    <mergeCell ref="N2:N3"/>
    <mergeCell ref="O2:O3"/>
    <mergeCell ref="P2:P3"/>
    <mergeCell ref="A4:B4"/>
    <mergeCell ref="A14:A15"/>
    <mergeCell ref="A16:A20"/>
    <mergeCell ref="A24:A29"/>
    <mergeCell ref="A1:B1"/>
    <mergeCell ref="A52:A61"/>
    <mergeCell ref="A6:A13"/>
    <mergeCell ref="A37:A43"/>
    <mergeCell ref="A44:A47"/>
    <mergeCell ref="A30:A36"/>
    <mergeCell ref="A21:A23"/>
    <mergeCell ref="A49:A51"/>
  </mergeCells>
  <pageMargins left="0.05" right="0.05" top="0.25" bottom="0.25" header="0" footer="0"/>
  <pageSetup fitToWidth="0" orientation="landscape" verticalDpi="0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70FF-8DC5-4F19-BB7F-518B35D514E7}">
  <dimension ref="A1:AA410"/>
  <sheetViews>
    <sheetView tabSelected="1" topLeftCell="A19" zoomScaleNormal="100" workbookViewId="0">
      <selection activeCell="U50" sqref="J50:U50"/>
    </sheetView>
  </sheetViews>
  <sheetFormatPr defaultColWidth="9.140625" defaultRowHeight="12.75" x14ac:dyDescent="0.25"/>
  <cols>
    <col min="1" max="1" width="27.140625" style="143" customWidth="1"/>
    <col min="2" max="2" width="40.7109375" style="139" customWidth="1"/>
    <col min="3" max="3" width="4.140625" style="130" customWidth="1"/>
    <col min="4" max="4" width="4.140625" style="133" customWidth="1"/>
    <col min="5" max="5" width="4.140625" style="166" customWidth="1"/>
    <col min="6" max="8" width="3.28515625" style="275" customWidth="1"/>
    <col min="9" max="9" width="3.28515625" style="279" customWidth="1"/>
    <col min="10" max="12" width="3.28515625" style="275" customWidth="1"/>
    <col min="13" max="13" width="3.28515625" style="279" customWidth="1"/>
    <col min="14" max="15" width="3.28515625" style="278" customWidth="1"/>
    <col min="16" max="17" width="3.28515625" style="280" customWidth="1"/>
    <col min="18" max="18" width="3.28515625" style="278" customWidth="1"/>
    <col min="19" max="20" width="3.28515625" style="277" customWidth="1"/>
    <col min="21" max="21" width="3.28515625" style="278" customWidth="1"/>
    <col min="22" max="27" width="9.140625" style="154"/>
    <col min="28" max="16384" width="9.140625" style="266"/>
  </cols>
  <sheetData>
    <row r="1" spans="1:27" s="240" customFormat="1" ht="11.25" customHeight="1" x14ac:dyDescent="0.25">
      <c r="A1" s="299" t="s">
        <v>234</v>
      </c>
      <c r="B1" s="300"/>
      <c r="C1" s="134" t="s">
        <v>144</v>
      </c>
      <c r="D1" s="146" t="s">
        <v>229</v>
      </c>
      <c r="E1" s="165" t="s">
        <v>227</v>
      </c>
      <c r="F1" s="315"/>
      <c r="G1" s="315"/>
      <c r="H1" s="315"/>
      <c r="I1" s="315"/>
      <c r="J1" s="237"/>
      <c r="K1" s="238"/>
      <c r="L1" s="237"/>
      <c r="M1" s="237"/>
      <c r="N1" s="316"/>
      <c r="O1" s="316"/>
      <c r="P1" s="316"/>
      <c r="Q1" s="237"/>
      <c r="R1" s="237"/>
      <c r="S1" s="237"/>
      <c r="T1" s="237"/>
      <c r="U1" s="239"/>
      <c r="V1" s="147"/>
      <c r="W1" s="147"/>
      <c r="X1" s="147"/>
      <c r="Y1" s="147"/>
      <c r="Z1" s="147"/>
      <c r="AA1" s="147"/>
    </row>
    <row r="2" spans="1:27" s="240" customFormat="1" ht="11.25" customHeight="1" x14ac:dyDescent="0.25">
      <c r="A2" s="307" t="s">
        <v>220</v>
      </c>
      <c r="B2" s="308"/>
      <c r="C2" s="125" t="s">
        <v>174</v>
      </c>
      <c r="D2" s="147" t="s">
        <v>174</v>
      </c>
      <c r="E2" s="186" t="s">
        <v>174</v>
      </c>
      <c r="F2" s="241"/>
      <c r="G2" s="242"/>
      <c r="H2" s="243"/>
      <c r="I2" s="243"/>
      <c r="J2" s="243"/>
      <c r="K2" s="242"/>
      <c r="L2" s="243"/>
      <c r="M2" s="245"/>
      <c r="N2" s="243"/>
      <c r="O2" s="243"/>
      <c r="P2" s="243"/>
      <c r="Q2" s="243"/>
      <c r="R2" s="243"/>
      <c r="S2" s="281"/>
      <c r="T2" s="281"/>
      <c r="U2" s="246"/>
      <c r="V2" s="147"/>
      <c r="W2" s="147"/>
      <c r="X2" s="147"/>
      <c r="Y2" s="147"/>
      <c r="Z2" s="147"/>
      <c r="AA2" s="147"/>
    </row>
    <row r="3" spans="1:27" s="254" customFormat="1" ht="11.25" customHeight="1" x14ac:dyDescent="0.25">
      <c r="A3" s="135"/>
      <c r="B3" s="136"/>
      <c r="C3" s="126" t="s">
        <v>176</v>
      </c>
      <c r="D3" s="148" t="s">
        <v>176</v>
      </c>
      <c r="E3" s="187" t="s">
        <v>176</v>
      </c>
      <c r="F3" s="282" t="s">
        <v>181</v>
      </c>
      <c r="G3" s="283" t="s">
        <v>192</v>
      </c>
      <c r="H3" s="283" t="s">
        <v>193</v>
      </c>
      <c r="I3" s="283" t="s">
        <v>195</v>
      </c>
      <c r="J3" s="283" t="s">
        <v>196</v>
      </c>
      <c r="K3" s="340" t="s">
        <v>200</v>
      </c>
      <c r="L3" s="283" t="s">
        <v>204</v>
      </c>
      <c r="M3" s="284" t="s">
        <v>206</v>
      </c>
      <c r="N3" s="285" t="s">
        <v>207</v>
      </c>
      <c r="O3" s="285" t="s">
        <v>209</v>
      </c>
      <c r="P3" s="286" t="s">
        <v>211</v>
      </c>
      <c r="Q3" s="286" t="s">
        <v>212</v>
      </c>
      <c r="R3" s="284" t="s">
        <v>214</v>
      </c>
      <c r="S3" s="286" t="s">
        <v>216</v>
      </c>
      <c r="T3" s="286" t="s">
        <v>218</v>
      </c>
      <c r="U3" s="252" t="s">
        <v>219</v>
      </c>
      <c r="V3" s="253"/>
      <c r="W3" s="253"/>
      <c r="X3" s="253"/>
      <c r="Y3" s="253"/>
      <c r="Z3" s="253"/>
      <c r="AA3" s="253"/>
    </row>
    <row r="4" spans="1:27" s="260" customFormat="1" ht="11.25" customHeight="1" x14ac:dyDescent="0.25">
      <c r="A4" s="297" t="s">
        <v>170</v>
      </c>
      <c r="B4" s="298"/>
      <c r="C4" s="127">
        <v>635</v>
      </c>
      <c r="D4" s="149">
        <v>2005</v>
      </c>
      <c r="E4" s="188">
        <v>1077</v>
      </c>
      <c r="F4" s="287">
        <v>31</v>
      </c>
      <c r="G4" s="288">
        <v>84</v>
      </c>
      <c r="H4" s="288">
        <v>34</v>
      </c>
      <c r="I4" s="288">
        <v>37</v>
      </c>
      <c r="J4" s="288">
        <v>23</v>
      </c>
      <c r="K4" s="258">
        <v>22</v>
      </c>
      <c r="L4" s="288">
        <v>52</v>
      </c>
      <c r="M4" s="288">
        <v>20</v>
      </c>
      <c r="N4" s="258">
        <v>25</v>
      </c>
      <c r="O4" s="258">
        <v>20</v>
      </c>
      <c r="P4" s="288">
        <v>32</v>
      </c>
      <c r="Q4" s="288">
        <v>22</v>
      </c>
      <c r="R4" s="288">
        <v>88</v>
      </c>
      <c r="S4" s="288">
        <v>25</v>
      </c>
      <c r="T4" s="288">
        <v>58</v>
      </c>
      <c r="U4" s="258">
        <v>24</v>
      </c>
      <c r="V4" s="259"/>
      <c r="W4" s="259"/>
      <c r="X4" s="259"/>
      <c r="Y4" s="259"/>
      <c r="Z4" s="259"/>
      <c r="AA4" s="259"/>
    </row>
    <row r="5" spans="1:27" ht="11.25" customHeight="1" x14ac:dyDescent="0.25">
      <c r="A5" s="291" t="s">
        <v>257</v>
      </c>
      <c r="B5" s="153" t="s">
        <v>225</v>
      </c>
      <c r="C5" s="130">
        <v>0.56999999999999995</v>
      </c>
      <c r="E5" s="186">
        <f>(1/E$4)*837</f>
        <v>0.77715877437325909</v>
      </c>
      <c r="F5" s="209">
        <f>(1/F$4)*24</f>
        <v>0.77419354838709675</v>
      </c>
      <c r="G5" s="157">
        <f>(1/G$4)*74</f>
        <v>0.88095238095238093</v>
      </c>
      <c r="H5" s="157">
        <f>(1/H$4)*28</f>
        <v>0.82352941176470584</v>
      </c>
      <c r="I5" s="157">
        <f>(1/I$4)*27</f>
        <v>0.72972972972972983</v>
      </c>
      <c r="J5" s="157">
        <f>(1/J$4)*18</f>
        <v>0.78260869565217384</v>
      </c>
      <c r="K5" s="201">
        <f>(1/K$4)*16</f>
        <v>0.72727272727272729</v>
      </c>
      <c r="L5" s="157">
        <f>(1/L$4)*43</f>
        <v>0.82692307692307698</v>
      </c>
      <c r="M5" s="157">
        <f>(1/M$4)*17</f>
        <v>0.85000000000000009</v>
      </c>
      <c r="N5" s="201">
        <f>(1/N$4)*17</f>
        <v>0.68</v>
      </c>
      <c r="O5" s="201">
        <f>(1/O$4)*14</f>
        <v>0.70000000000000007</v>
      </c>
      <c r="P5" s="157">
        <f>(1/P$4)*25</f>
        <v>0.78125</v>
      </c>
      <c r="Q5" s="157">
        <f>(1/Q$4)*19</f>
        <v>0.86363636363636365</v>
      </c>
      <c r="R5" s="157">
        <f>(1/R$4)*64</f>
        <v>0.72727272727272729</v>
      </c>
      <c r="S5" s="157">
        <f>(1/S$4)*20</f>
        <v>0.8</v>
      </c>
      <c r="T5" s="157">
        <f>(1/T$4)*50</f>
        <v>0.86206896551724133</v>
      </c>
      <c r="U5" s="201">
        <f>(1/U$4)*22</f>
        <v>0.91666666666666663</v>
      </c>
    </row>
    <row r="6" spans="1:27" ht="11.25" customHeight="1" x14ac:dyDescent="0.25">
      <c r="A6" s="290"/>
      <c r="B6" s="144" t="s">
        <v>240</v>
      </c>
      <c r="C6" s="130">
        <v>0.1</v>
      </c>
      <c r="D6" s="151"/>
      <c r="E6" s="186">
        <f>(1/E$4)*73</f>
        <v>6.778087279480037E-2</v>
      </c>
      <c r="F6" s="209">
        <f>(1/F$4)*1</f>
        <v>3.2258064516129031E-2</v>
      </c>
      <c r="G6" s="157">
        <f>(1/G$4)*5</f>
        <v>5.9523809523809521E-2</v>
      </c>
      <c r="H6" s="157">
        <f>(1/H$4)*4</f>
        <v>0.11764705882352941</v>
      </c>
      <c r="I6" s="157">
        <f>(1/I$4)*2</f>
        <v>5.4054054054054057E-2</v>
      </c>
      <c r="J6" s="157">
        <f>(1/J$4)*3</f>
        <v>0.13043478260869565</v>
      </c>
      <c r="K6" s="201">
        <f>(1/K$4)*2</f>
        <v>9.0909090909090912E-2</v>
      </c>
      <c r="L6" s="157">
        <f>(1/L$4)*2</f>
        <v>3.8461538461538464E-2</v>
      </c>
      <c r="M6" s="157">
        <v>0.15</v>
      </c>
      <c r="N6" s="201">
        <f>(1/N$4)*3</f>
        <v>0.12</v>
      </c>
      <c r="O6" s="201">
        <f>(1/O$4)*1</f>
        <v>0.05</v>
      </c>
      <c r="P6" s="157">
        <f>(1/P$4)*1</f>
        <v>3.125E-2</v>
      </c>
      <c r="Q6" s="157">
        <f>(1/Q$4)*3</f>
        <v>0.13636363636363635</v>
      </c>
      <c r="R6" s="157">
        <f>(1/R$4)*6</f>
        <v>6.8181818181818177E-2</v>
      </c>
      <c r="S6" s="157">
        <f>(1/S$4)*1</f>
        <v>0.04</v>
      </c>
      <c r="T6" s="157">
        <f>(1/T$4)*4</f>
        <v>6.8965517241379309E-2</v>
      </c>
      <c r="U6" s="201">
        <f>(1/U$4)*1</f>
        <v>4.1666666666666664E-2</v>
      </c>
    </row>
    <row r="7" spans="1:27" ht="11.25" customHeight="1" x14ac:dyDescent="0.25">
      <c r="A7" s="290"/>
      <c r="B7" s="144" t="s">
        <v>241</v>
      </c>
      <c r="C7" s="130">
        <v>0.25</v>
      </c>
      <c r="E7" s="186">
        <f>(1/E$4)*452</f>
        <v>0.41968430826369546</v>
      </c>
      <c r="F7" s="209">
        <f>(1/F$4)*10</f>
        <v>0.32258064516129031</v>
      </c>
      <c r="G7" s="157">
        <f>(1/G$4)*38</f>
        <v>0.45238095238095233</v>
      </c>
      <c r="H7" s="157">
        <f>(1/H$4)*13</f>
        <v>0.38235294117647056</v>
      </c>
      <c r="I7" s="157">
        <f>(1/I$4)*14</f>
        <v>0.3783783783783784</v>
      </c>
      <c r="J7" s="157">
        <f>(1/J$4)*8</f>
        <v>0.34782608695652173</v>
      </c>
      <c r="K7" s="201">
        <f>(1/K$4)*12</f>
        <v>0.54545454545454541</v>
      </c>
      <c r="L7" s="157">
        <f>(1/L$4)*25</f>
        <v>0.48076923076923078</v>
      </c>
      <c r="M7" s="157">
        <f>(1/M$4)*7</f>
        <v>0.35000000000000003</v>
      </c>
      <c r="N7" s="201">
        <f>(1/N$4)*10</f>
        <v>0.4</v>
      </c>
      <c r="O7" s="201">
        <f>(1/O$4)*6</f>
        <v>0.30000000000000004</v>
      </c>
      <c r="P7" s="157">
        <f>(1/P$4)*15</f>
        <v>0.46875</v>
      </c>
      <c r="Q7" s="157">
        <f>(1/Q$4)*7</f>
        <v>0.31818181818181818</v>
      </c>
      <c r="R7" s="157">
        <f>(1/R$4)*30</f>
        <v>0.34090909090909094</v>
      </c>
      <c r="S7" s="157">
        <f>(1/S$4)*13</f>
        <v>0.52</v>
      </c>
      <c r="T7" s="157">
        <f>(1/T$4)*30</f>
        <v>0.51724137931034486</v>
      </c>
      <c r="U7" s="201">
        <f>(1/U$4)*17</f>
        <v>0.70833333333333326</v>
      </c>
    </row>
    <row r="8" spans="1:27" ht="11.25" customHeight="1" x14ac:dyDescent="0.25">
      <c r="A8" s="290"/>
      <c r="B8" s="144" t="s">
        <v>242</v>
      </c>
      <c r="C8" s="130">
        <v>0.35</v>
      </c>
      <c r="E8" s="186">
        <f>(1/E$4)*381</f>
        <v>0.35376044568245124</v>
      </c>
      <c r="F8" s="209">
        <f>(1/F$4)*13</f>
        <v>0.41935483870967738</v>
      </c>
      <c r="G8" s="157">
        <f>(1/G$4)*35</f>
        <v>0.41666666666666663</v>
      </c>
      <c r="H8" s="157">
        <f>(1/H$4)*15</f>
        <v>0.44117647058823528</v>
      </c>
      <c r="I8" s="157">
        <f>(1/I$4)*17</f>
        <v>0.45945945945945948</v>
      </c>
      <c r="J8" s="157">
        <f>(1/J$4)*3</f>
        <v>0.13043478260869565</v>
      </c>
      <c r="K8" s="201">
        <f>(1/K$4)*9</f>
        <v>0.40909090909090912</v>
      </c>
      <c r="L8" s="157">
        <f>(1/L$4)*18</f>
        <v>0.34615384615384615</v>
      </c>
      <c r="M8" s="157">
        <f>(1/M$4)*4</f>
        <v>0.2</v>
      </c>
      <c r="N8" s="201">
        <f>(1/N$4)*12</f>
        <v>0.48</v>
      </c>
      <c r="O8" s="201">
        <f>(1/O$4)*7</f>
        <v>0.35000000000000003</v>
      </c>
      <c r="P8" s="157">
        <f>(1/P$4)*9</f>
        <v>0.28125</v>
      </c>
      <c r="Q8" s="157">
        <f>(1/Q$4)*4</f>
        <v>0.18181818181818182</v>
      </c>
      <c r="R8" s="157">
        <f>(1/R$4)*29</f>
        <v>0.32954545454545453</v>
      </c>
      <c r="S8" s="157">
        <f>(1/S$4)*6</f>
        <v>0.24</v>
      </c>
      <c r="T8" s="157">
        <f>(1/T$4)*23</f>
        <v>0.39655172413793105</v>
      </c>
      <c r="U8" s="201">
        <f>(1/U$4)*9</f>
        <v>0.375</v>
      </c>
    </row>
    <row r="9" spans="1:27" ht="11.25" customHeight="1" x14ac:dyDescent="0.25">
      <c r="A9" s="290"/>
      <c r="B9" s="144" t="s">
        <v>243</v>
      </c>
      <c r="C9" s="130">
        <v>0.14000000000000001</v>
      </c>
      <c r="E9" s="186">
        <f>(1/E$4)*91</f>
        <v>8.4493964716805939E-2</v>
      </c>
      <c r="F9" s="209">
        <f>(1/F$4)*1</f>
        <v>3.2258064516129031E-2</v>
      </c>
      <c r="G9" s="157">
        <f>(1/G$4)*12</f>
        <v>0.14285714285714285</v>
      </c>
      <c r="H9" s="157">
        <f>(1/H$4)*2</f>
        <v>5.8823529411764705E-2</v>
      </c>
      <c r="I9" s="157">
        <f>(1/I$4)*3</f>
        <v>8.1081081081081086E-2</v>
      </c>
      <c r="J9" s="157">
        <f>(1/J$4)*2</f>
        <v>8.6956521739130432E-2</v>
      </c>
      <c r="K9" s="201">
        <f>(1/K$4)*0</f>
        <v>0</v>
      </c>
      <c r="L9" s="157">
        <f>(1/L$4)*5</f>
        <v>9.6153846153846159E-2</v>
      </c>
      <c r="M9" s="157">
        <f>(1/M$4)*3</f>
        <v>0.15000000000000002</v>
      </c>
      <c r="N9" s="201">
        <f>(1/N$4)*0</f>
        <v>0</v>
      </c>
      <c r="O9" s="201">
        <f>(1/O$4)*1</f>
        <v>0.05</v>
      </c>
      <c r="P9" s="157">
        <f>(1/P$4)*3</f>
        <v>9.375E-2</v>
      </c>
      <c r="Q9" s="157">
        <f>(1/Q$4)*0</f>
        <v>0</v>
      </c>
      <c r="R9" s="157">
        <f>(1/R$4)*5</f>
        <v>5.6818181818181823E-2</v>
      </c>
      <c r="S9" s="157">
        <f>(1/S$4)*1</f>
        <v>0.04</v>
      </c>
      <c r="T9" s="157">
        <f>(1/T$4)*10</f>
        <v>0.17241379310344829</v>
      </c>
      <c r="U9" s="201">
        <f>(1/U$4)*0</f>
        <v>0</v>
      </c>
    </row>
    <row r="10" spans="1:27" ht="11.25" customHeight="1" x14ac:dyDescent="0.25">
      <c r="A10" s="290"/>
      <c r="B10" s="144" t="s">
        <v>244</v>
      </c>
      <c r="C10" s="130">
        <v>0.15</v>
      </c>
      <c r="E10" s="186">
        <f>(1/E$4)*333</f>
        <v>0.30919220055710306</v>
      </c>
      <c r="F10" s="209">
        <f>(1/F$4)*10</f>
        <v>0.32258064516129031</v>
      </c>
      <c r="G10" s="157">
        <f>(1/G$4)*30</f>
        <v>0.3571428571428571</v>
      </c>
      <c r="H10" s="157">
        <f>(1/H$4)*12</f>
        <v>0.3529411764705882</v>
      </c>
      <c r="I10" s="157">
        <f>(1/I$4)*11</f>
        <v>0.29729729729729731</v>
      </c>
      <c r="J10" s="157">
        <f>(1/J$4)*11</f>
        <v>0.47826086956521741</v>
      </c>
      <c r="K10" s="201">
        <f>(1/K$4)*2</f>
        <v>9.0909090909090912E-2</v>
      </c>
      <c r="L10" s="157">
        <f>(1/L$4)*19</f>
        <v>0.36538461538461542</v>
      </c>
      <c r="M10" s="157">
        <f>(1/M$4)*4</f>
        <v>0.2</v>
      </c>
      <c r="N10" s="201">
        <f>(1/N$4)*4</f>
        <v>0.16</v>
      </c>
      <c r="O10" s="201">
        <f>(1/O$4)*4</f>
        <v>0.2</v>
      </c>
      <c r="P10" s="157">
        <f>(1/P$4)*12</f>
        <v>0.375</v>
      </c>
      <c r="Q10" s="157">
        <f>(1/Q$4)*11</f>
        <v>0.5</v>
      </c>
      <c r="R10" s="157">
        <f>(1/R$4)*22</f>
        <v>0.25</v>
      </c>
      <c r="S10" s="157">
        <f>(1/S$4)*12</f>
        <v>0.48</v>
      </c>
      <c r="T10" s="157">
        <f>(1/T$4)*19</f>
        <v>0.32758620689655171</v>
      </c>
      <c r="U10" s="201">
        <f>(1/U$4)*15</f>
        <v>0.625</v>
      </c>
    </row>
    <row r="11" spans="1:27" ht="11.25" customHeight="1" x14ac:dyDescent="0.25">
      <c r="A11" s="290"/>
      <c r="B11" s="144" t="s">
        <v>245</v>
      </c>
      <c r="C11" s="130">
        <v>0.08</v>
      </c>
      <c r="E11" s="186">
        <f>(1/E$4)*107</f>
        <v>9.9350046425255342E-2</v>
      </c>
      <c r="F11" s="209">
        <f>(1/F$4)*2</f>
        <v>6.4516129032258063E-2</v>
      </c>
      <c r="G11" s="157">
        <f>(1/G$4)*10</f>
        <v>0.11904761904761904</v>
      </c>
      <c r="H11" s="157">
        <f>(1/H$4)*5</f>
        <v>0.14705882352941177</v>
      </c>
      <c r="I11" s="157">
        <f>(1/I$4)*0</f>
        <v>0</v>
      </c>
      <c r="J11" s="157">
        <f>(1/J$4)*1</f>
        <v>4.3478260869565216E-2</v>
      </c>
      <c r="K11" s="201">
        <f>(1/K$4)*3</f>
        <v>0.13636363636363635</v>
      </c>
      <c r="L11" s="157">
        <f>(1/L$4)*9</f>
        <v>0.17307692307692307</v>
      </c>
      <c r="M11" s="157">
        <f>(1/M$4)*5</f>
        <v>0.25</v>
      </c>
      <c r="N11" s="201">
        <f>(1/N$4)*0</f>
        <v>0</v>
      </c>
      <c r="O11" s="201">
        <f>(1/O$4)*0</f>
        <v>0</v>
      </c>
      <c r="P11" s="157">
        <f>(1/P$4)*2</f>
        <v>6.25E-2</v>
      </c>
      <c r="Q11" s="157">
        <f>(1/Q$4)*5</f>
        <v>0.22727272727272729</v>
      </c>
      <c r="R11" s="157">
        <f>(1/R$4)*13</f>
        <v>0.14772727272727273</v>
      </c>
      <c r="S11" s="157">
        <f>(1/S$4)*3</f>
        <v>0.12</v>
      </c>
      <c r="T11" s="157">
        <f>(1/T$4)*4</f>
        <v>6.8965517241379309E-2</v>
      </c>
      <c r="U11" s="201">
        <f>(1/U$4)*1</f>
        <v>4.1666666666666664E-2</v>
      </c>
    </row>
    <row r="12" spans="1:27" s="179" customFormat="1" ht="11.25" customHeight="1" thickBot="1" x14ac:dyDescent="0.3">
      <c r="A12" s="292"/>
      <c r="B12" s="171" t="s">
        <v>226</v>
      </c>
      <c r="C12" s="172">
        <f>1-C5</f>
        <v>0.43000000000000005</v>
      </c>
      <c r="D12" s="173"/>
      <c r="E12" s="190">
        <f>1-E5</f>
        <v>0.22284122562674091</v>
      </c>
      <c r="F12" s="211">
        <f>1-F5</f>
        <v>0.22580645161290325</v>
      </c>
      <c r="G12" s="174">
        <f t="shared" ref="G12:U12" si="0">1-G5</f>
        <v>0.11904761904761907</v>
      </c>
      <c r="H12" s="174">
        <f t="shared" si="0"/>
        <v>0.17647058823529416</v>
      </c>
      <c r="I12" s="174">
        <f t="shared" si="0"/>
        <v>0.27027027027027017</v>
      </c>
      <c r="J12" s="174">
        <f t="shared" si="0"/>
        <v>0.21739130434782616</v>
      </c>
      <c r="K12" s="202">
        <f t="shared" si="0"/>
        <v>0.27272727272727271</v>
      </c>
      <c r="L12" s="174">
        <f t="shared" si="0"/>
        <v>0.17307692307692302</v>
      </c>
      <c r="M12" s="174">
        <f t="shared" si="0"/>
        <v>0.14999999999999991</v>
      </c>
      <c r="N12" s="202">
        <f t="shared" si="0"/>
        <v>0.31999999999999995</v>
      </c>
      <c r="O12" s="202">
        <f t="shared" si="0"/>
        <v>0.29999999999999993</v>
      </c>
      <c r="P12" s="174">
        <f t="shared" si="0"/>
        <v>0.21875</v>
      </c>
      <c r="Q12" s="174">
        <f t="shared" ref="Q12" si="1">1-Q5</f>
        <v>0.13636363636363635</v>
      </c>
      <c r="R12" s="174">
        <f>1-R5</f>
        <v>0.27272727272727271</v>
      </c>
      <c r="S12" s="174">
        <f>1-S5</f>
        <v>0.19999999999999996</v>
      </c>
      <c r="T12" s="174">
        <f>1-T5</f>
        <v>0.13793103448275867</v>
      </c>
      <c r="U12" s="202">
        <f t="shared" si="0"/>
        <v>8.333333333333337E-2</v>
      </c>
      <c r="V12" s="154"/>
      <c r="W12" s="154"/>
      <c r="X12" s="154"/>
      <c r="Y12" s="154"/>
      <c r="Z12" s="154"/>
      <c r="AA12" s="154"/>
    </row>
    <row r="13" spans="1:27" ht="11.25" customHeight="1" thickTop="1" x14ac:dyDescent="0.25">
      <c r="A13" s="293" t="s">
        <v>259</v>
      </c>
      <c r="B13" s="168" t="s">
        <v>226</v>
      </c>
      <c r="C13" s="130">
        <v>0.62</v>
      </c>
      <c r="E13" s="191">
        <v>0.46</v>
      </c>
      <c r="F13" s="267">
        <v>0.45</v>
      </c>
      <c r="G13" s="158">
        <v>0.44</v>
      </c>
      <c r="H13" s="158">
        <v>0.55000000000000004</v>
      </c>
      <c r="I13" s="158">
        <v>0.46</v>
      </c>
      <c r="J13" s="158">
        <v>0.56999999999999995</v>
      </c>
      <c r="K13" s="162">
        <v>0.5</v>
      </c>
      <c r="L13" s="158">
        <v>0.27</v>
      </c>
      <c r="M13" s="158">
        <v>0.6</v>
      </c>
      <c r="N13" s="162">
        <v>0.48</v>
      </c>
      <c r="O13" s="162">
        <v>0.5</v>
      </c>
      <c r="P13" s="158">
        <v>0.47</v>
      </c>
      <c r="Q13" s="158">
        <v>0.32</v>
      </c>
      <c r="R13" s="158">
        <v>0.53</v>
      </c>
      <c r="S13" s="158">
        <v>0.36</v>
      </c>
      <c r="T13" s="158">
        <v>0.36</v>
      </c>
      <c r="U13" s="162">
        <v>0.21</v>
      </c>
    </row>
    <row r="14" spans="1:27" s="179" customFormat="1" ht="11.25" customHeight="1" thickBot="1" x14ac:dyDescent="0.3">
      <c r="A14" s="290"/>
      <c r="B14" s="182" t="s">
        <v>225</v>
      </c>
      <c r="C14" s="183">
        <v>0.38</v>
      </c>
      <c r="D14" s="184"/>
      <c r="E14" s="192">
        <f>1-E13</f>
        <v>0.54</v>
      </c>
      <c r="F14" s="213">
        <f t="shared" ref="F14:U14" si="2">1-F13</f>
        <v>0.55000000000000004</v>
      </c>
      <c r="G14" s="175">
        <f t="shared" si="2"/>
        <v>0.56000000000000005</v>
      </c>
      <c r="H14" s="175">
        <f t="shared" si="2"/>
        <v>0.44999999999999996</v>
      </c>
      <c r="I14" s="175">
        <f t="shared" si="2"/>
        <v>0.54</v>
      </c>
      <c r="J14" s="175">
        <f t="shared" si="2"/>
        <v>0.43000000000000005</v>
      </c>
      <c r="K14" s="180">
        <f t="shared" si="2"/>
        <v>0.5</v>
      </c>
      <c r="L14" s="175">
        <f t="shared" si="2"/>
        <v>0.73</v>
      </c>
      <c r="M14" s="175">
        <f t="shared" si="2"/>
        <v>0.4</v>
      </c>
      <c r="N14" s="180">
        <f t="shared" si="2"/>
        <v>0.52</v>
      </c>
      <c r="O14" s="180">
        <f t="shared" si="2"/>
        <v>0.5</v>
      </c>
      <c r="P14" s="175">
        <f t="shared" si="2"/>
        <v>0.53</v>
      </c>
      <c r="Q14" s="175">
        <f t="shared" ref="Q14" si="3">1-Q13</f>
        <v>0.67999999999999994</v>
      </c>
      <c r="R14" s="175">
        <f>1-R13</f>
        <v>0.47</v>
      </c>
      <c r="S14" s="175">
        <f>1-S13</f>
        <v>0.64</v>
      </c>
      <c r="T14" s="175">
        <f>1-T13</f>
        <v>0.64</v>
      </c>
      <c r="U14" s="180">
        <f t="shared" si="2"/>
        <v>0.79</v>
      </c>
      <c r="V14" s="154"/>
      <c r="W14" s="154"/>
      <c r="X14" s="154"/>
      <c r="Y14" s="154"/>
      <c r="Z14" s="154"/>
      <c r="AA14" s="154"/>
    </row>
    <row r="15" spans="1:27" s="154" customFormat="1" ht="11.25" customHeight="1" thickTop="1" x14ac:dyDescent="0.25">
      <c r="A15" s="293" t="s">
        <v>230</v>
      </c>
      <c r="B15" s="139" t="s">
        <v>10</v>
      </c>
      <c r="C15" s="128">
        <v>0.46</v>
      </c>
      <c r="D15" s="133">
        <v>0.5</v>
      </c>
      <c r="E15" s="193">
        <v>0.49</v>
      </c>
      <c r="F15" s="215">
        <v>0.63</v>
      </c>
      <c r="G15" s="158">
        <v>0.39</v>
      </c>
      <c r="H15" s="158">
        <v>0.53</v>
      </c>
      <c r="I15" s="158">
        <v>0.36</v>
      </c>
      <c r="J15" s="158">
        <v>0.3</v>
      </c>
      <c r="K15" s="162">
        <v>0.73</v>
      </c>
      <c r="L15" s="158">
        <v>0.37</v>
      </c>
      <c r="M15" s="158">
        <v>0.5</v>
      </c>
      <c r="N15" s="162">
        <v>0.48</v>
      </c>
      <c r="O15" s="162">
        <v>0.45</v>
      </c>
      <c r="P15" s="158">
        <v>0.47</v>
      </c>
      <c r="Q15" s="158">
        <v>0.23</v>
      </c>
      <c r="R15" s="158">
        <v>0.48</v>
      </c>
      <c r="S15" s="158">
        <v>0.56000000000000005</v>
      </c>
      <c r="T15" s="158">
        <v>0.39</v>
      </c>
      <c r="U15" s="162">
        <v>0.71</v>
      </c>
    </row>
    <row r="16" spans="1:27" s="154" customFormat="1" ht="11.25" customHeight="1" x14ac:dyDescent="0.25">
      <c r="A16" s="290"/>
      <c r="B16" s="140" t="s">
        <v>228</v>
      </c>
      <c r="C16" s="128">
        <v>0.27</v>
      </c>
      <c r="D16" s="133">
        <v>0.28999999999999998</v>
      </c>
      <c r="E16" s="193">
        <v>0.3</v>
      </c>
      <c r="F16" s="215">
        <v>0.13</v>
      </c>
      <c r="G16" s="158">
        <v>0.28999999999999998</v>
      </c>
      <c r="H16" s="158">
        <v>0.32</v>
      </c>
      <c r="I16" s="158">
        <v>0.31</v>
      </c>
      <c r="J16" s="158">
        <v>0.61</v>
      </c>
      <c r="K16" s="162">
        <v>0.18</v>
      </c>
      <c r="L16" s="158">
        <v>0.39</v>
      </c>
      <c r="M16" s="158">
        <v>0.4</v>
      </c>
      <c r="N16" s="162">
        <v>0.36</v>
      </c>
      <c r="O16" s="162">
        <v>0.4</v>
      </c>
      <c r="P16" s="158">
        <v>0.44</v>
      </c>
      <c r="Q16" s="158">
        <v>0.55000000000000004</v>
      </c>
      <c r="R16" s="158">
        <v>0.27</v>
      </c>
      <c r="S16" s="158">
        <v>0.4</v>
      </c>
      <c r="T16" s="158">
        <v>0.35</v>
      </c>
      <c r="U16" s="162">
        <v>0.25</v>
      </c>
    </row>
    <row r="17" spans="1:27" s="154" customFormat="1" ht="11.25" customHeight="1" x14ac:dyDescent="0.25">
      <c r="A17" s="290"/>
      <c r="B17" s="139" t="s">
        <v>150</v>
      </c>
      <c r="C17" s="128"/>
      <c r="D17" s="133">
        <v>0.18</v>
      </c>
      <c r="E17" s="193">
        <v>0.17</v>
      </c>
      <c r="F17" s="215">
        <v>7.0000000000000007E-2</v>
      </c>
      <c r="G17" s="158">
        <v>0.14000000000000001</v>
      </c>
      <c r="H17" s="158">
        <v>0.12</v>
      </c>
      <c r="I17" s="158">
        <v>0.14000000000000001</v>
      </c>
      <c r="J17" s="158">
        <v>0.22</v>
      </c>
      <c r="K17" s="162">
        <v>0.05</v>
      </c>
      <c r="L17" s="158">
        <v>0.22</v>
      </c>
      <c r="M17" s="158">
        <v>0.1</v>
      </c>
      <c r="N17" s="162">
        <v>0.16</v>
      </c>
      <c r="O17" s="162">
        <v>0.25</v>
      </c>
      <c r="P17" s="158">
        <v>0.28000000000000003</v>
      </c>
      <c r="Q17" s="158">
        <v>0.36</v>
      </c>
      <c r="R17" s="158">
        <v>0.15</v>
      </c>
      <c r="S17" s="158">
        <v>0.16</v>
      </c>
      <c r="T17" s="158">
        <v>0.26</v>
      </c>
      <c r="U17" s="162">
        <v>0.17</v>
      </c>
    </row>
    <row r="18" spans="1:27" s="154" customFormat="1" ht="11.25" customHeight="1" x14ac:dyDescent="0.25">
      <c r="A18" s="290"/>
      <c r="B18" s="139" t="s">
        <v>151</v>
      </c>
      <c r="C18" s="128"/>
      <c r="D18" s="133">
        <v>0.19</v>
      </c>
      <c r="E18" s="193">
        <v>0.21</v>
      </c>
      <c r="F18" s="215">
        <v>7.0000000000000007E-2</v>
      </c>
      <c r="G18" s="158">
        <v>0.21</v>
      </c>
      <c r="H18" s="158">
        <v>0.28999999999999998</v>
      </c>
      <c r="I18" s="158">
        <v>0.19</v>
      </c>
      <c r="J18" s="158">
        <v>0.52</v>
      </c>
      <c r="K18" s="162">
        <v>0.13</v>
      </c>
      <c r="L18" s="158">
        <v>0.25</v>
      </c>
      <c r="M18" s="158">
        <v>0.35</v>
      </c>
      <c r="N18" s="162">
        <v>0.2</v>
      </c>
      <c r="O18" s="162">
        <v>0.15</v>
      </c>
      <c r="P18" s="158">
        <v>0.22</v>
      </c>
      <c r="Q18" s="158">
        <v>0.32</v>
      </c>
      <c r="R18" s="158">
        <v>0.18</v>
      </c>
      <c r="S18" s="158">
        <v>0.28000000000000003</v>
      </c>
      <c r="T18" s="158">
        <v>0.23</v>
      </c>
      <c r="U18" s="162">
        <v>0.17</v>
      </c>
    </row>
    <row r="19" spans="1:27" s="179" customFormat="1" ht="11.25" customHeight="1" thickBot="1" x14ac:dyDescent="0.3">
      <c r="A19" s="292"/>
      <c r="B19" s="176" t="s">
        <v>12</v>
      </c>
      <c r="C19" s="177">
        <v>0.26</v>
      </c>
      <c r="D19" s="173">
        <v>0.23</v>
      </c>
      <c r="E19" s="192">
        <v>0.27</v>
      </c>
      <c r="F19" s="213">
        <v>0.27</v>
      </c>
      <c r="G19" s="175">
        <v>0.4</v>
      </c>
      <c r="H19" s="175">
        <v>0.24</v>
      </c>
      <c r="I19" s="175">
        <v>0.42</v>
      </c>
      <c r="J19" s="175">
        <v>0.22</v>
      </c>
      <c r="K19" s="180">
        <v>0.14000000000000001</v>
      </c>
      <c r="L19" s="175">
        <v>0.33</v>
      </c>
      <c r="M19" s="175">
        <v>0.3</v>
      </c>
      <c r="N19" s="180">
        <v>0.24</v>
      </c>
      <c r="O19" s="180">
        <v>0.2</v>
      </c>
      <c r="P19" s="175">
        <v>0.16</v>
      </c>
      <c r="Q19" s="175">
        <v>0.32</v>
      </c>
      <c r="R19" s="175">
        <v>0.25</v>
      </c>
      <c r="S19" s="175">
        <v>0.24</v>
      </c>
      <c r="T19" s="175">
        <v>0.32</v>
      </c>
      <c r="U19" s="180">
        <v>0.13</v>
      </c>
      <c r="V19" s="154"/>
      <c r="W19" s="154"/>
      <c r="X19" s="154"/>
      <c r="Y19" s="154"/>
      <c r="Z19" s="154"/>
      <c r="AA19" s="154"/>
    </row>
    <row r="20" spans="1:27" ht="11.25" customHeight="1" thickTop="1" x14ac:dyDescent="0.25">
      <c r="A20" s="293" t="s">
        <v>231</v>
      </c>
      <c r="B20" s="141" t="s">
        <v>18</v>
      </c>
      <c r="C20" s="128"/>
      <c r="D20" s="133">
        <v>0.68359999999999999</v>
      </c>
      <c r="E20" s="194">
        <v>0.74</v>
      </c>
      <c r="F20" s="217">
        <v>0.9</v>
      </c>
      <c r="G20" s="159">
        <v>0.72</v>
      </c>
      <c r="H20" s="159">
        <v>0.82</v>
      </c>
      <c r="I20" s="159">
        <v>0.78</v>
      </c>
      <c r="J20" s="159">
        <v>0.65</v>
      </c>
      <c r="K20" s="203">
        <v>0.76</v>
      </c>
      <c r="L20" s="159">
        <v>0.69</v>
      </c>
      <c r="M20" s="159">
        <v>0.68</v>
      </c>
      <c r="N20" s="203">
        <v>0.72</v>
      </c>
      <c r="O20" s="203">
        <v>0.75</v>
      </c>
      <c r="P20" s="159">
        <v>0.67</v>
      </c>
      <c r="Q20" s="159">
        <v>0.27</v>
      </c>
      <c r="R20" s="159">
        <v>0.81</v>
      </c>
      <c r="S20" s="159">
        <v>0.75</v>
      </c>
      <c r="T20" s="159">
        <v>0.49</v>
      </c>
      <c r="U20" s="203">
        <v>0.79</v>
      </c>
    </row>
    <row r="21" spans="1:27" ht="11.25" customHeight="1" x14ac:dyDescent="0.25">
      <c r="A21" s="290"/>
      <c r="B21" s="141" t="s">
        <v>19</v>
      </c>
      <c r="C21" s="128"/>
      <c r="D21" s="133">
        <v>7.0000000000000007E-2</v>
      </c>
      <c r="E21" s="186">
        <v>0.1</v>
      </c>
      <c r="F21" s="209">
        <v>0.03</v>
      </c>
      <c r="G21" s="157">
        <v>0.1</v>
      </c>
      <c r="H21" s="157">
        <v>0.09</v>
      </c>
      <c r="I21" s="157">
        <v>0.14000000000000001</v>
      </c>
      <c r="J21" s="157">
        <v>0.13</v>
      </c>
      <c r="K21" s="201">
        <v>0</v>
      </c>
      <c r="L21" s="157">
        <v>0.2</v>
      </c>
      <c r="M21" s="157">
        <v>0</v>
      </c>
      <c r="N21" s="201">
        <v>0</v>
      </c>
      <c r="O21" s="201">
        <v>0.1</v>
      </c>
      <c r="P21" s="157">
        <v>0.2</v>
      </c>
      <c r="Q21" s="157">
        <v>0.14000000000000001</v>
      </c>
      <c r="R21" s="157">
        <v>0.14000000000000001</v>
      </c>
      <c r="S21" s="157">
        <v>0.17</v>
      </c>
      <c r="T21" s="157">
        <v>0.09</v>
      </c>
      <c r="U21" s="201">
        <v>0.04</v>
      </c>
    </row>
    <row r="22" spans="1:27" s="179" customFormat="1" ht="11.25" customHeight="1" thickBot="1" x14ac:dyDescent="0.3">
      <c r="A22" s="292"/>
      <c r="B22" s="176" t="s">
        <v>20</v>
      </c>
      <c r="C22" s="172"/>
      <c r="D22" s="173">
        <v>0.25</v>
      </c>
      <c r="E22" s="190">
        <v>0.17</v>
      </c>
      <c r="F22" s="211">
        <v>0.06</v>
      </c>
      <c r="G22" s="174">
        <v>0.18</v>
      </c>
      <c r="H22" s="174">
        <v>0.09</v>
      </c>
      <c r="I22" s="174">
        <v>0.08</v>
      </c>
      <c r="J22" s="174">
        <v>0.22</v>
      </c>
      <c r="K22" s="202">
        <v>0.28999999999999998</v>
      </c>
      <c r="L22" s="174">
        <v>0.14000000000000001</v>
      </c>
      <c r="M22" s="174">
        <v>0.32</v>
      </c>
      <c r="N22" s="202">
        <v>0.28000000000000003</v>
      </c>
      <c r="O22" s="202">
        <v>0.15</v>
      </c>
      <c r="P22" s="174">
        <v>0.13</v>
      </c>
      <c r="Q22" s="174">
        <v>0.59</v>
      </c>
      <c r="R22" s="174">
        <v>0.06</v>
      </c>
      <c r="S22" s="174">
        <v>0.08</v>
      </c>
      <c r="T22" s="174">
        <v>0.44</v>
      </c>
      <c r="U22" s="202">
        <v>0.17</v>
      </c>
      <c r="V22" s="154"/>
      <c r="W22" s="154"/>
      <c r="X22" s="154"/>
      <c r="Y22" s="154"/>
      <c r="Z22" s="154"/>
      <c r="AA22" s="154"/>
    </row>
    <row r="23" spans="1:27" ht="11.25" customHeight="1" thickTop="1" x14ac:dyDescent="0.25">
      <c r="A23" s="293" t="s">
        <v>232</v>
      </c>
      <c r="B23" s="139" t="s">
        <v>239</v>
      </c>
      <c r="E23" s="194"/>
      <c r="F23" s="217"/>
      <c r="G23" s="159"/>
      <c r="H23" s="159"/>
      <c r="I23" s="159"/>
      <c r="J23" s="159"/>
      <c r="K23" s="203"/>
      <c r="L23" s="159"/>
      <c r="M23" s="159"/>
      <c r="N23" s="203"/>
      <c r="O23" s="203"/>
      <c r="P23" s="159"/>
      <c r="Q23" s="159"/>
      <c r="R23" s="159"/>
      <c r="S23" s="159"/>
      <c r="T23" s="159"/>
      <c r="U23" s="203"/>
    </row>
    <row r="24" spans="1:27" ht="11.25" customHeight="1" x14ac:dyDescent="0.25">
      <c r="A24" s="290"/>
      <c r="B24" s="139" t="s">
        <v>22</v>
      </c>
      <c r="C24" s="130">
        <v>0.38</v>
      </c>
      <c r="D24" s="133">
        <v>0.56000000000000005</v>
      </c>
      <c r="E24" s="194">
        <v>0.46</v>
      </c>
      <c r="F24" s="217">
        <v>0.33</v>
      </c>
      <c r="G24" s="159">
        <v>0.25</v>
      </c>
      <c r="H24" s="159">
        <v>0.33</v>
      </c>
      <c r="I24" s="159">
        <v>0.33</v>
      </c>
      <c r="J24" s="159">
        <v>0.6</v>
      </c>
      <c r="K24" s="203">
        <v>0.4</v>
      </c>
      <c r="L24" s="159">
        <v>0.5</v>
      </c>
      <c r="M24" s="159">
        <v>0.33</v>
      </c>
      <c r="N24" s="203">
        <v>0.28999999999999998</v>
      </c>
      <c r="O24" s="203">
        <v>0.67</v>
      </c>
      <c r="P24" s="159">
        <v>0.67</v>
      </c>
      <c r="Q24" s="159">
        <v>0.42</v>
      </c>
      <c r="R24" s="159">
        <v>0.4</v>
      </c>
      <c r="S24" s="159">
        <v>0.67</v>
      </c>
      <c r="T24" s="159">
        <v>0.52</v>
      </c>
      <c r="U24" s="203">
        <v>0.75</v>
      </c>
    </row>
    <row r="25" spans="1:27" ht="11.25" customHeight="1" x14ac:dyDescent="0.25">
      <c r="A25" s="290"/>
      <c r="B25" s="140" t="s">
        <v>138</v>
      </c>
      <c r="C25" s="126">
        <f>1-C24</f>
        <v>0.62</v>
      </c>
      <c r="D25" s="126">
        <v>0.44</v>
      </c>
      <c r="E25" s="187">
        <f t="shared" ref="E25:N25" si="4">1-E24</f>
        <v>0.54</v>
      </c>
      <c r="F25" s="219">
        <f t="shared" si="4"/>
        <v>0.66999999999999993</v>
      </c>
      <c r="G25" s="160">
        <f t="shared" si="4"/>
        <v>0.75</v>
      </c>
      <c r="H25" s="160">
        <f t="shared" si="4"/>
        <v>0.66999999999999993</v>
      </c>
      <c r="I25" s="160">
        <f t="shared" si="4"/>
        <v>0.66999999999999993</v>
      </c>
      <c r="J25" s="160">
        <f t="shared" si="4"/>
        <v>0.4</v>
      </c>
      <c r="K25" s="204">
        <f>1-K24</f>
        <v>0.6</v>
      </c>
      <c r="L25" s="160">
        <f t="shared" si="4"/>
        <v>0.5</v>
      </c>
      <c r="M25" s="160">
        <f t="shared" si="4"/>
        <v>0.66999999999999993</v>
      </c>
      <c r="N25" s="233">
        <f t="shared" si="4"/>
        <v>0.71</v>
      </c>
      <c r="O25" s="204">
        <f t="shared" ref="O25:U25" si="5">1-O24</f>
        <v>0.32999999999999996</v>
      </c>
      <c r="P25" s="160">
        <f>1-P24</f>
        <v>0.32999999999999996</v>
      </c>
      <c r="Q25" s="160">
        <f>1-Q24</f>
        <v>0.58000000000000007</v>
      </c>
      <c r="R25" s="160">
        <f>1-R24</f>
        <v>0.6</v>
      </c>
      <c r="S25" s="160">
        <f>1-S24</f>
        <v>0.32999999999999996</v>
      </c>
      <c r="T25" s="160">
        <f>1-T24</f>
        <v>0.48</v>
      </c>
      <c r="U25" s="204">
        <f t="shared" si="5"/>
        <v>0.25</v>
      </c>
    </row>
    <row r="26" spans="1:27" ht="11.25" customHeight="1" x14ac:dyDescent="0.25">
      <c r="A26" s="290"/>
      <c r="B26" s="139" t="s">
        <v>23</v>
      </c>
      <c r="D26" s="133">
        <v>0.36</v>
      </c>
      <c r="E26" s="194">
        <v>0.34</v>
      </c>
      <c r="F26" s="217">
        <v>0.33</v>
      </c>
      <c r="G26" s="159">
        <v>0.56000000000000005</v>
      </c>
      <c r="H26" s="159">
        <v>0.67</v>
      </c>
      <c r="I26" s="159">
        <v>0.33</v>
      </c>
      <c r="J26" s="159">
        <v>0</v>
      </c>
      <c r="K26" s="203">
        <v>0.8</v>
      </c>
      <c r="L26" s="159">
        <v>0.33</v>
      </c>
      <c r="M26" s="159">
        <v>0.67</v>
      </c>
      <c r="N26" s="203">
        <v>0.14000000000000001</v>
      </c>
      <c r="O26" s="203">
        <v>0</v>
      </c>
      <c r="P26" s="159">
        <v>0.17</v>
      </c>
      <c r="Q26" s="159">
        <v>0.33</v>
      </c>
      <c r="R26" s="159">
        <v>0.2</v>
      </c>
      <c r="S26" s="159">
        <v>0.33</v>
      </c>
      <c r="T26" s="159">
        <v>0.36</v>
      </c>
      <c r="U26" s="203">
        <v>0</v>
      </c>
    </row>
    <row r="27" spans="1:27" ht="11.25" customHeight="1" x14ac:dyDescent="0.25">
      <c r="A27" s="290"/>
      <c r="B27" s="139" t="s">
        <v>24</v>
      </c>
      <c r="D27" s="133">
        <v>0.35</v>
      </c>
      <c r="E27" s="194">
        <v>0.37</v>
      </c>
      <c r="F27" s="217">
        <v>0</v>
      </c>
      <c r="G27" s="159">
        <v>0.44</v>
      </c>
      <c r="H27" s="159">
        <v>0.33</v>
      </c>
      <c r="I27" s="159">
        <v>0.67</v>
      </c>
      <c r="J27" s="159">
        <v>0</v>
      </c>
      <c r="K27" s="203">
        <v>0.2</v>
      </c>
      <c r="L27" s="159">
        <v>0.33</v>
      </c>
      <c r="M27" s="159">
        <v>0.17</v>
      </c>
      <c r="N27" s="203">
        <v>0.14000000000000001</v>
      </c>
      <c r="O27" s="203">
        <v>0.33</v>
      </c>
      <c r="P27" s="159">
        <v>0.33</v>
      </c>
      <c r="Q27" s="159">
        <v>0.5</v>
      </c>
      <c r="R27" s="159">
        <v>0.2</v>
      </c>
      <c r="S27" s="159">
        <v>0.33</v>
      </c>
      <c r="T27" s="159">
        <v>0.48</v>
      </c>
      <c r="U27" s="203">
        <v>0.5</v>
      </c>
    </row>
    <row r="28" spans="1:27" s="179" customFormat="1" ht="11.25" customHeight="1" thickBot="1" x14ac:dyDescent="0.3">
      <c r="A28" s="292"/>
      <c r="B28" s="176" t="s">
        <v>139</v>
      </c>
      <c r="C28" s="172"/>
      <c r="D28" s="173">
        <v>0.15</v>
      </c>
      <c r="E28" s="195">
        <v>0.2</v>
      </c>
      <c r="F28" s="221">
        <v>0.33</v>
      </c>
      <c r="G28" s="178">
        <v>0.31</v>
      </c>
      <c r="H28" s="178">
        <v>0.33</v>
      </c>
      <c r="I28" s="178">
        <v>0.33</v>
      </c>
      <c r="J28" s="178">
        <v>0.4</v>
      </c>
      <c r="K28" s="205">
        <v>0.2</v>
      </c>
      <c r="L28" s="178">
        <v>0.17</v>
      </c>
      <c r="M28" s="178">
        <v>0.17</v>
      </c>
      <c r="N28" s="205">
        <v>0.56999999999999995</v>
      </c>
      <c r="O28" s="205">
        <v>0</v>
      </c>
      <c r="P28" s="178">
        <v>0</v>
      </c>
      <c r="Q28" s="178">
        <v>0.25</v>
      </c>
      <c r="R28" s="178">
        <v>0.6</v>
      </c>
      <c r="S28" s="178">
        <v>0.33</v>
      </c>
      <c r="T28" s="178">
        <v>0.08</v>
      </c>
      <c r="U28" s="205">
        <v>0.25</v>
      </c>
      <c r="V28" s="154"/>
      <c r="W28" s="154"/>
      <c r="X28" s="154"/>
      <c r="Y28" s="154"/>
      <c r="Z28" s="154"/>
      <c r="AA28" s="154"/>
    </row>
    <row r="29" spans="1:27" ht="11.25" customHeight="1" thickTop="1" x14ac:dyDescent="0.25">
      <c r="A29" s="293" t="s">
        <v>233</v>
      </c>
      <c r="B29" s="168" t="s">
        <v>226</v>
      </c>
      <c r="C29" s="130">
        <v>0.68</v>
      </c>
      <c r="D29" s="133">
        <v>0.4</v>
      </c>
      <c r="E29" s="186">
        <v>0.25</v>
      </c>
      <c r="F29" s="209">
        <v>0.23</v>
      </c>
      <c r="G29" s="157">
        <v>0.26</v>
      </c>
      <c r="H29" s="157">
        <v>0.12</v>
      </c>
      <c r="I29" s="157">
        <v>0.11</v>
      </c>
      <c r="J29" s="157">
        <v>0.09</v>
      </c>
      <c r="K29" s="201">
        <v>0.36</v>
      </c>
      <c r="L29" s="157">
        <v>0.15</v>
      </c>
      <c r="M29" s="157">
        <v>0.17</v>
      </c>
      <c r="N29" s="201">
        <v>0.2</v>
      </c>
      <c r="O29" s="201">
        <v>0.2</v>
      </c>
      <c r="P29" s="157">
        <v>0.44</v>
      </c>
      <c r="Q29" s="157">
        <v>0.05</v>
      </c>
      <c r="R29" s="157">
        <v>0.36</v>
      </c>
      <c r="S29" s="157">
        <v>0.28000000000000003</v>
      </c>
      <c r="T29" s="157">
        <v>0.2</v>
      </c>
      <c r="U29" s="201">
        <v>0.13</v>
      </c>
    </row>
    <row r="30" spans="1:27" ht="11.25" customHeight="1" x14ac:dyDescent="0.25">
      <c r="A30" s="290"/>
      <c r="B30" s="168" t="s">
        <v>225</v>
      </c>
      <c r="C30" s="130">
        <f>1-C29</f>
        <v>0.31999999999999995</v>
      </c>
      <c r="D30" s="130">
        <f>1-D29</f>
        <v>0.6</v>
      </c>
      <c r="E30" s="186">
        <f>1-E29</f>
        <v>0.75</v>
      </c>
      <c r="F30" s="209">
        <f>1-F29</f>
        <v>0.77</v>
      </c>
      <c r="G30" s="157">
        <f t="shared" ref="G30:U30" si="6">1-G29</f>
        <v>0.74</v>
      </c>
      <c r="H30" s="157">
        <f t="shared" si="6"/>
        <v>0.88</v>
      </c>
      <c r="I30" s="157">
        <f>1-I29</f>
        <v>0.89</v>
      </c>
      <c r="J30" s="157">
        <f t="shared" si="6"/>
        <v>0.91</v>
      </c>
      <c r="K30" s="201">
        <f t="shared" si="6"/>
        <v>0.64</v>
      </c>
      <c r="L30" s="157">
        <f t="shared" si="6"/>
        <v>0.85</v>
      </c>
      <c r="M30" s="157">
        <f t="shared" si="6"/>
        <v>0.83</v>
      </c>
      <c r="N30" s="201">
        <f t="shared" si="6"/>
        <v>0.8</v>
      </c>
      <c r="O30" s="201">
        <f t="shared" si="6"/>
        <v>0.8</v>
      </c>
      <c r="P30" s="157">
        <f t="shared" si="6"/>
        <v>0.56000000000000005</v>
      </c>
      <c r="Q30" s="157">
        <f t="shared" ref="Q30" si="7">1-Q29</f>
        <v>0.95</v>
      </c>
      <c r="R30" s="157">
        <f>1-R29</f>
        <v>0.64</v>
      </c>
      <c r="S30" s="157">
        <f>1-S29</f>
        <v>0.72</v>
      </c>
      <c r="T30" s="157">
        <f>1-T29</f>
        <v>0.8</v>
      </c>
      <c r="U30" s="201">
        <f t="shared" si="6"/>
        <v>0.87</v>
      </c>
    </row>
    <row r="31" spans="1:27" ht="11.25" customHeight="1" x14ac:dyDescent="0.25">
      <c r="A31" s="290"/>
      <c r="B31" s="154" t="s">
        <v>246</v>
      </c>
      <c r="E31" s="186">
        <v>0.61</v>
      </c>
      <c r="F31" s="209">
        <v>0.68</v>
      </c>
      <c r="G31" s="157">
        <v>0.6</v>
      </c>
      <c r="H31" s="157">
        <v>0.67</v>
      </c>
      <c r="I31" s="157">
        <v>0.73</v>
      </c>
      <c r="J31" s="157">
        <v>0.78</v>
      </c>
      <c r="K31" s="201">
        <v>0.59</v>
      </c>
      <c r="L31" s="157">
        <v>0.71</v>
      </c>
      <c r="M31" s="157">
        <v>0.72</v>
      </c>
      <c r="N31" s="201">
        <v>0.64</v>
      </c>
      <c r="O31" s="201">
        <v>0.8</v>
      </c>
      <c r="P31" s="157">
        <v>0.44</v>
      </c>
      <c r="Q31" s="157">
        <v>0.82</v>
      </c>
      <c r="R31" s="157">
        <v>0.56000000000000005</v>
      </c>
      <c r="S31" s="157">
        <v>0.64</v>
      </c>
      <c r="T31" s="157">
        <v>0.55000000000000004</v>
      </c>
      <c r="U31" s="201">
        <v>0.79</v>
      </c>
    </row>
    <row r="32" spans="1:27" ht="11.25" customHeight="1" x14ac:dyDescent="0.25">
      <c r="A32" s="290"/>
      <c r="B32" s="154" t="s">
        <v>247</v>
      </c>
      <c r="E32" s="186">
        <v>0.41</v>
      </c>
      <c r="F32" s="209">
        <v>0.32</v>
      </c>
      <c r="G32" s="157">
        <v>0.43</v>
      </c>
      <c r="H32" s="157">
        <v>0.57999999999999996</v>
      </c>
      <c r="I32" s="157">
        <v>0.38</v>
      </c>
      <c r="J32" s="157">
        <v>0.48</v>
      </c>
      <c r="K32" s="201">
        <v>0.32</v>
      </c>
      <c r="L32" s="157">
        <v>0.52</v>
      </c>
      <c r="M32" s="157">
        <v>0.5</v>
      </c>
      <c r="N32" s="201">
        <v>0.32</v>
      </c>
      <c r="O32" s="201">
        <v>0.3</v>
      </c>
      <c r="P32" s="157">
        <v>0.28000000000000003</v>
      </c>
      <c r="Q32" s="157">
        <v>0.55000000000000004</v>
      </c>
      <c r="R32" s="157">
        <v>0.36</v>
      </c>
      <c r="S32" s="157">
        <v>0.48</v>
      </c>
      <c r="T32" s="157">
        <v>0.54</v>
      </c>
      <c r="U32" s="201">
        <v>0.42</v>
      </c>
    </row>
    <row r="33" spans="1:27" ht="11.25" customHeight="1" x14ac:dyDescent="0.25">
      <c r="A33" s="290"/>
      <c r="B33" s="154" t="s">
        <v>248</v>
      </c>
      <c r="E33" s="186">
        <v>0.32</v>
      </c>
      <c r="F33" s="209">
        <v>0.28999999999999998</v>
      </c>
      <c r="G33" s="157">
        <v>0.33</v>
      </c>
      <c r="H33" s="157">
        <v>0.48</v>
      </c>
      <c r="I33" s="157">
        <v>0.3</v>
      </c>
      <c r="J33" s="157">
        <v>0.43</v>
      </c>
      <c r="K33" s="201">
        <v>0.27</v>
      </c>
      <c r="L33" s="157">
        <v>0.42</v>
      </c>
      <c r="M33" s="157">
        <v>0.44</v>
      </c>
      <c r="N33" s="201">
        <v>0.24</v>
      </c>
      <c r="O33" s="201">
        <v>0.3</v>
      </c>
      <c r="P33" s="157">
        <v>0.16</v>
      </c>
      <c r="Q33" s="157">
        <v>0.5</v>
      </c>
      <c r="R33" s="157">
        <v>0.32</v>
      </c>
      <c r="S33" s="157">
        <v>0.44</v>
      </c>
      <c r="T33" s="157">
        <v>0.38</v>
      </c>
      <c r="U33" s="201">
        <v>0.28999999999999998</v>
      </c>
    </row>
    <row r="34" spans="1:27" ht="11.25" customHeight="1" x14ac:dyDescent="0.25">
      <c r="A34" s="290"/>
      <c r="B34" s="154" t="s">
        <v>249</v>
      </c>
      <c r="E34" s="186">
        <v>0.2</v>
      </c>
      <c r="F34" s="209">
        <v>0.06</v>
      </c>
      <c r="G34" s="157">
        <v>0.2</v>
      </c>
      <c r="H34" s="157">
        <v>0.18</v>
      </c>
      <c r="I34" s="157">
        <v>0.19</v>
      </c>
      <c r="J34" s="157">
        <v>0.3</v>
      </c>
      <c r="K34" s="201">
        <v>0.05</v>
      </c>
      <c r="L34" s="157">
        <v>0.28999999999999998</v>
      </c>
      <c r="M34" s="157">
        <v>0.33</v>
      </c>
      <c r="N34" s="201">
        <v>0.2</v>
      </c>
      <c r="O34" s="201">
        <v>0.15</v>
      </c>
      <c r="P34" s="157">
        <v>0.16</v>
      </c>
      <c r="Q34" s="157">
        <v>0.27</v>
      </c>
      <c r="R34" s="157">
        <v>0.17</v>
      </c>
      <c r="S34" s="157">
        <v>0.08</v>
      </c>
      <c r="T34" s="157">
        <v>0.36</v>
      </c>
      <c r="U34" s="201">
        <v>0.17</v>
      </c>
    </row>
    <row r="35" spans="1:27" s="179" customFormat="1" ht="11.25" customHeight="1" thickBot="1" x14ac:dyDescent="0.3">
      <c r="A35" s="292"/>
      <c r="B35" s="179" t="s">
        <v>250</v>
      </c>
      <c r="C35" s="172"/>
      <c r="D35" s="173"/>
      <c r="E35" s="190">
        <v>0.08</v>
      </c>
      <c r="F35" s="211">
        <v>0.03</v>
      </c>
      <c r="G35" s="174">
        <v>0.1</v>
      </c>
      <c r="H35" s="174">
        <v>0.15</v>
      </c>
      <c r="I35" s="174">
        <v>0.08</v>
      </c>
      <c r="J35" s="174">
        <v>0.09</v>
      </c>
      <c r="K35" s="202">
        <v>0.09</v>
      </c>
      <c r="L35" s="174">
        <v>0.08</v>
      </c>
      <c r="M35" s="174">
        <v>0.06</v>
      </c>
      <c r="N35" s="202">
        <v>0.17</v>
      </c>
      <c r="O35" s="202">
        <v>0.15</v>
      </c>
      <c r="P35" s="174">
        <v>0.03</v>
      </c>
      <c r="Q35" s="174">
        <v>0.05</v>
      </c>
      <c r="R35" s="174">
        <v>0.09</v>
      </c>
      <c r="S35" s="174">
        <v>0.04</v>
      </c>
      <c r="T35" s="174">
        <v>0.2</v>
      </c>
      <c r="U35" s="202">
        <v>0.04</v>
      </c>
      <c r="V35" s="154"/>
      <c r="W35" s="154"/>
      <c r="X35" s="154"/>
      <c r="Y35" s="154"/>
      <c r="Z35" s="154"/>
      <c r="AA35" s="154"/>
    </row>
    <row r="36" spans="1:27" ht="11.25" customHeight="1" thickTop="1" x14ac:dyDescent="0.25">
      <c r="A36" s="293" t="s">
        <v>258</v>
      </c>
      <c r="B36" s="168" t="s">
        <v>226</v>
      </c>
      <c r="C36" s="130">
        <v>0.79</v>
      </c>
      <c r="D36" s="133">
        <f>1-D37</f>
        <v>0.88</v>
      </c>
      <c r="E36" s="186">
        <v>0.76619999999999999</v>
      </c>
      <c r="F36" s="209">
        <v>0.87</v>
      </c>
      <c r="G36" s="157">
        <v>0.81</v>
      </c>
      <c r="H36" s="157">
        <v>0.73</v>
      </c>
      <c r="I36" s="157">
        <v>0.76</v>
      </c>
      <c r="J36" s="157">
        <v>0.65</v>
      </c>
      <c r="K36" s="201">
        <v>0.82</v>
      </c>
      <c r="L36" s="157">
        <v>0.69</v>
      </c>
      <c r="M36" s="157">
        <v>0.78</v>
      </c>
      <c r="N36" s="201">
        <v>0.8</v>
      </c>
      <c r="O36" s="201">
        <v>0.9</v>
      </c>
      <c r="P36" s="157">
        <v>0.75</v>
      </c>
      <c r="Q36" s="157">
        <v>0.64</v>
      </c>
      <c r="R36" s="157">
        <v>0.76</v>
      </c>
      <c r="S36" s="157">
        <v>0.72</v>
      </c>
      <c r="T36" s="157">
        <v>0.84</v>
      </c>
      <c r="U36" s="201">
        <v>0.79</v>
      </c>
    </row>
    <row r="37" spans="1:27" ht="11.25" customHeight="1" x14ac:dyDescent="0.25">
      <c r="A37" s="290"/>
      <c r="B37" s="168" t="s">
        <v>225</v>
      </c>
      <c r="C37" s="130">
        <f>1-C36</f>
        <v>0.20999999999999996</v>
      </c>
      <c r="D37" s="133">
        <v>0.12</v>
      </c>
      <c r="E37" s="186">
        <f>1-E36</f>
        <v>0.23380000000000001</v>
      </c>
      <c r="F37" s="209">
        <f t="shared" ref="F37:U37" si="8">1-F36</f>
        <v>0.13</v>
      </c>
      <c r="G37" s="157">
        <f>1-G36</f>
        <v>0.18999999999999995</v>
      </c>
      <c r="H37" s="157">
        <f t="shared" si="8"/>
        <v>0.27</v>
      </c>
      <c r="I37" s="157">
        <f t="shared" si="8"/>
        <v>0.24</v>
      </c>
      <c r="J37" s="157">
        <f t="shared" si="8"/>
        <v>0.35</v>
      </c>
      <c r="K37" s="201">
        <f t="shared" si="8"/>
        <v>0.18000000000000005</v>
      </c>
      <c r="L37" s="157">
        <f t="shared" si="8"/>
        <v>0.31000000000000005</v>
      </c>
      <c r="M37" s="157">
        <f t="shared" si="8"/>
        <v>0.21999999999999997</v>
      </c>
      <c r="N37" s="201">
        <f t="shared" si="8"/>
        <v>0.19999999999999996</v>
      </c>
      <c r="O37" s="201">
        <v>0</v>
      </c>
      <c r="P37" s="157">
        <f t="shared" si="8"/>
        <v>0.25</v>
      </c>
      <c r="Q37" s="157">
        <f t="shared" ref="Q37" si="9">1-Q36</f>
        <v>0.36</v>
      </c>
      <c r="R37" s="157">
        <f>1-R36</f>
        <v>0.24</v>
      </c>
      <c r="S37" s="157">
        <f>1-S36</f>
        <v>0.28000000000000003</v>
      </c>
      <c r="T37" s="157">
        <f>1-T36</f>
        <v>0.16000000000000003</v>
      </c>
      <c r="U37" s="201">
        <f t="shared" si="8"/>
        <v>0.20999999999999996</v>
      </c>
    </row>
    <row r="38" spans="1:27" ht="11.25" customHeight="1" x14ac:dyDescent="0.25">
      <c r="A38" s="290"/>
      <c r="B38" s="154" t="s">
        <v>251</v>
      </c>
      <c r="C38" s="130">
        <v>0.09</v>
      </c>
      <c r="E38" s="235">
        <f>(1/E$4)*74</f>
        <v>6.8709377901578453E-2</v>
      </c>
      <c r="F38" s="209">
        <f>(1/F$4)*1</f>
        <v>3.2258064516129031E-2</v>
      </c>
      <c r="G38" s="157">
        <f>(1/G$4)*5</f>
        <v>5.9523809523809521E-2</v>
      </c>
      <c r="H38" s="157">
        <f>(1/H$4)*1</f>
        <v>2.9411764705882353E-2</v>
      </c>
      <c r="I38" s="157">
        <f>(1/I$4)*5</f>
        <v>0.13513513513513514</v>
      </c>
      <c r="J38" s="157">
        <f>(1/J$4)*2</f>
        <v>8.6956521739130432E-2</v>
      </c>
      <c r="K38" s="201">
        <f>(1/K$4)*1</f>
        <v>4.5454545454545456E-2</v>
      </c>
      <c r="L38" s="157">
        <f>(1/L$4)*6</f>
        <v>0.11538461538461539</v>
      </c>
      <c r="M38" s="157">
        <v>0.06</v>
      </c>
      <c r="N38" s="201">
        <f>(1/N$4)*2</f>
        <v>0.08</v>
      </c>
      <c r="O38" s="201">
        <v>0</v>
      </c>
      <c r="P38" s="157">
        <f>(1/P$4)*2</f>
        <v>6.25E-2</v>
      </c>
      <c r="Q38" s="157">
        <f>(1/Q$4)*2</f>
        <v>9.0909090909090912E-2</v>
      </c>
      <c r="R38" s="157">
        <f>(1/R$4)*7</f>
        <v>7.9545454545454544E-2</v>
      </c>
      <c r="S38" s="157">
        <f>(1/S$4)*4</f>
        <v>0.16</v>
      </c>
      <c r="T38" s="157">
        <v>0.1</v>
      </c>
      <c r="U38" s="201">
        <v>0.12</v>
      </c>
    </row>
    <row r="39" spans="1:27" ht="11.25" customHeight="1" x14ac:dyDescent="0.25">
      <c r="A39" s="290"/>
      <c r="B39" s="154" t="s">
        <v>252</v>
      </c>
      <c r="C39" s="130">
        <v>0.05</v>
      </c>
      <c r="E39" s="186">
        <f>(1/E$4)*54</f>
        <v>5.0139275766016712E-2</v>
      </c>
      <c r="F39" s="209">
        <f>(1/F$4)*1</f>
        <v>3.2258064516129031E-2</v>
      </c>
      <c r="G39" s="157">
        <f>(1/G$4)*3</f>
        <v>3.5714285714285712E-2</v>
      </c>
      <c r="H39" s="157">
        <f>(1/H$4)*5</f>
        <v>0.14705882352941177</v>
      </c>
      <c r="I39" s="157">
        <f>(1/I$4)*1</f>
        <v>2.7027027027027029E-2</v>
      </c>
      <c r="J39" s="157">
        <v>0</v>
      </c>
      <c r="K39" s="201">
        <f>(1/K$4)*1</f>
        <v>4.5454545454545456E-2</v>
      </c>
      <c r="L39" s="157">
        <f>(1/L$4)*1</f>
        <v>1.9230769230769232E-2</v>
      </c>
      <c r="M39" s="157">
        <v>0.11</v>
      </c>
      <c r="N39" s="201">
        <f>(1/N$4)*3</f>
        <v>0.12</v>
      </c>
      <c r="O39" s="201">
        <f>(1/O$4)*1</f>
        <v>0.05</v>
      </c>
      <c r="P39" s="157">
        <f>(1/P$4)*0</f>
        <v>0</v>
      </c>
      <c r="Q39" s="157">
        <f>(1/Q$4)*5</f>
        <v>0.22727272727272729</v>
      </c>
      <c r="R39" s="157">
        <f>(1/R$4)*4</f>
        <v>4.5454545454545456E-2</v>
      </c>
      <c r="S39" s="157">
        <f>(1/S$4)*1</f>
        <v>0.04</v>
      </c>
      <c r="T39" s="157">
        <v>0.04</v>
      </c>
      <c r="U39" s="201">
        <f>(1/U$4)*1</f>
        <v>4.1666666666666664E-2</v>
      </c>
    </row>
    <row r="40" spans="1:27" ht="11.25" customHeight="1" x14ac:dyDescent="0.25">
      <c r="A40" s="290"/>
      <c r="B40" s="154" t="s">
        <v>253</v>
      </c>
      <c r="C40" s="130">
        <v>0.04</v>
      </c>
      <c r="E40" s="186">
        <f>(1/E$4)*19</f>
        <v>1.7641597028783658E-2</v>
      </c>
      <c r="F40" s="209">
        <v>0</v>
      </c>
      <c r="G40" s="157">
        <f>(1/G$4)*0</f>
        <v>0</v>
      </c>
      <c r="H40" s="157">
        <f>(1/H$4)*0</f>
        <v>0</v>
      </c>
      <c r="I40" s="157">
        <f>(1/I$4)*0</f>
        <v>0</v>
      </c>
      <c r="J40" s="157">
        <f>(1/J$4)*2</f>
        <v>8.6956521739130432E-2</v>
      </c>
      <c r="K40" s="201">
        <f>(1/K$4)*0</f>
        <v>0</v>
      </c>
      <c r="L40" s="157">
        <f>(1/L$4)*3</f>
        <v>5.7692307692307696E-2</v>
      </c>
      <c r="M40" s="157">
        <v>0.06</v>
      </c>
      <c r="N40" s="201">
        <f>(1/N$4)*0</f>
        <v>0</v>
      </c>
      <c r="O40" s="201">
        <f>(1/O$4)*0</f>
        <v>0</v>
      </c>
      <c r="P40" s="157">
        <f>(1/P$4)*0</f>
        <v>0</v>
      </c>
      <c r="Q40" s="157">
        <f>(1/Q$4)*0</f>
        <v>0</v>
      </c>
      <c r="R40" s="157">
        <f>(1/R$4)*3</f>
        <v>3.4090909090909088E-2</v>
      </c>
      <c r="S40" s="157">
        <f>(1/S$4)*0</f>
        <v>0</v>
      </c>
      <c r="T40" s="157">
        <f>(1/T$4)*1</f>
        <v>1.7241379310344827E-2</v>
      </c>
      <c r="U40" s="201">
        <f>(1/U$4)*0</f>
        <v>0</v>
      </c>
    </row>
    <row r="41" spans="1:27" ht="11.25" customHeight="1" x14ac:dyDescent="0.25">
      <c r="A41" s="290"/>
      <c r="B41" s="154" t="s">
        <v>254</v>
      </c>
      <c r="C41" s="130">
        <v>0.02</v>
      </c>
      <c r="E41" s="186">
        <f>(1/E$4)*26</f>
        <v>2.414113277623027E-2</v>
      </c>
      <c r="F41" s="209">
        <f>(1/F$4)*1</f>
        <v>3.2258064516129031E-2</v>
      </c>
      <c r="G41" s="157">
        <f>(1/G$4)*4</f>
        <v>4.7619047619047616E-2</v>
      </c>
      <c r="H41" s="157">
        <f>(1/H$4)*0</f>
        <v>0</v>
      </c>
      <c r="I41" s="157">
        <f>(1/I$4)*0</f>
        <v>0</v>
      </c>
      <c r="J41" s="157">
        <v>0</v>
      </c>
      <c r="K41" s="201">
        <f>(1/K$4)*2</f>
        <v>9.0909090909090912E-2</v>
      </c>
      <c r="L41" s="157">
        <f>(1/L$4)*3</f>
        <v>5.7692307692307696E-2</v>
      </c>
      <c r="M41" s="157">
        <f>(1/M$4)*0</f>
        <v>0</v>
      </c>
      <c r="N41" s="201">
        <f>(1/N$4)*0</f>
        <v>0</v>
      </c>
      <c r="O41" s="201">
        <f>(1/O$4)*1</f>
        <v>0.05</v>
      </c>
      <c r="P41" s="157">
        <f>(1/P$4)*1</f>
        <v>3.125E-2</v>
      </c>
      <c r="Q41" s="157">
        <f>(1/Q$4)*1</f>
        <v>4.5454545454545456E-2</v>
      </c>
      <c r="R41" s="157">
        <f>(1/R$4)*2</f>
        <v>2.2727272727272728E-2</v>
      </c>
      <c r="S41" s="157">
        <f>(1/S$4)*0</f>
        <v>0</v>
      </c>
      <c r="T41" s="157">
        <f>(1/T$4)*0</f>
        <v>0</v>
      </c>
      <c r="U41" s="201">
        <f>(1/U$4)*0</f>
        <v>0</v>
      </c>
    </row>
    <row r="42" spans="1:27" s="179" customFormat="1" ht="11.25" customHeight="1" thickBot="1" x14ac:dyDescent="0.3">
      <c r="A42" s="292"/>
      <c r="B42" s="179" t="s">
        <v>255</v>
      </c>
      <c r="C42" s="172">
        <v>0.03</v>
      </c>
      <c r="D42" s="173"/>
      <c r="E42" s="190">
        <f>(1/E$4)*44</f>
        <v>4.0854224698235839E-2</v>
      </c>
      <c r="F42" s="211">
        <f>(1/F$4)*1</f>
        <v>3.2258064516129031E-2</v>
      </c>
      <c r="G42" s="174">
        <f>(1/G$4)*4</f>
        <v>4.7619047619047616E-2</v>
      </c>
      <c r="H42" s="174">
        <f>(1/H$4)*3</f>
        <v>8.8235294117647051E-2</v>
      </c>
      <c r="I42" s="174">
        <f>(1/I$4)*1</f>
        <v>2.7027027027027029E-2</v>
      </c>
      <c r="J42" s="174">
        <f>(1/J$4)*4</f>
        <v>0.17391304347826086</v>
      </c>
      <c r="K42" s="202">
        <f>(1/K$4)*0</f>
        <v>0</v>
      </c>
      <c r="L42" s="174">
        <f>(1/L$4)*3</f>
        <v>5.7692307692307696E-2</v>
      </c>
      <c r="M42" s="174">
        <f>(1/M$4)*0</f>
        <v>0</v>
      </c>
      <c r="N42" s="202">
        <f>(1/N$4)*0</f>
        <v>0</v>
      </c>
      <c r="O42" s="202">
        <f>(1/O$4)*14</f>
        <v>0.70000000000000007</v>
      </c>
      <c r="P42" s="174">
        <f>(1/P$4)*5</f>
        <v>0.15625</v>
      </c>
      <c r="Q42" s="174">
        <f>(1/Q$4)*0</f>
        <v>0</v>
      </c>
      <c r="R42" s="174">
        <f>(1/R$4)*5</f>
        <v>5.6818181818181823E-2</v>
      </c>
      <c r="S42" s="174">
        <f>(1/S$4)*2</f>
        <v>0.08</v>
      </c>
      <c r="T42" s="174">
        <f>(1/T$4)*0</f>
        <v>0</v>
      </c>
      <c r="U42" s="202">
        <f>(1/U$4)*1</f>
        <v>4.1666666666666664E-2</v>
      </c>
      <c r="V42" s="154"/>
      <c r="W42" s="154"/>
      <c r="X42" s="154"/>
      <c r="Y42" s="154"/>
      <c r="Z42" s="154"/>
      <c r="AA42" s="154"/>
    </row>
    <row r="43" spans="1:27" ht="12.75" customHeight="1" thickTop="1" x14ac:dyDescent="0.25">
      <c r="A43" s="290" t="s">
        <v>235</v>
      </c>
      <c r="B43" s="139" t="s">
        <v>238</v>
      </c>
      <c r="C43" s="156"/>
      <c r="D43" s="156"/>
      <c r="E43" s="196">
        <v>950</v>
      </c>
      <c r="F43" s="224">
        <v>29</v>
      </c>
      <c r="G43" s="161">
        <v>81</v>
      </c>
      <c r="H43" s="161">
        <v>33</v>
      </c>
      <c r="I43" s="161">
        <v>36</v>
      </c>
      <c r="J43" s="161">
        <v>23</v>
      </c>
      <c r="K43" s="206">
        <v>22</v>
      </c>
      <c r="L43" s="161">
        <v>50</v>
      </c>
      <c r="M43" s="161">
        <v>19</v>
      </c>
      <c r="N43" s="206">
        <v>24</v>
      </c>
      <c r="O43" s="206">
        <v>18</v>
      </c>
      <c r="P43" s="161">
        <v>29</v>
      </c>
      <c r="Q43" s="161">
        <v>21</v>
      </c>
      <c r="R43" s="161">
        <v>86</v>
      </c>
      <c r="S43" s="161">
        <v>25</v>
      </c>
      <c r="T43" s="161">
        <v>55</v>
      </c>
      <c r="U43" s="206">
        <v>23</v>
      </c>
    </row>
    <row r="44" spans="1:27" ht="12.75" customHeight="1" x14ac:dyDescent="0.25">
      <c r="A44" s="290"/>
      <c r="B44" s="139" t="s">
        <v>172</v>
      </c>
      <c r="C44" s="130">
        <v>0.26</v>
      </c>
      <c r="D44" s="130">
        <v>0.28999999999999998</v>
      </c>
      <c r="E44" s="193">
        <f>(1/E$43)*331</f>
        <v>0.34842105263157896</v>
      </c>
      <c r="F44" s="215">
        <f>(1/F$43)*14</f>
        <v>0.48275862068965514</v>
      </c>
      <c r="G44" s="158">
        <f>(1/G$43)*30</f>
        <v>0.37037037037037035</v>
      </c>
      <c r="H44" s="158">
        <f>(1/H$43)*7</f>
        <v>0.21212121212121213</v>
      </c>
      <c r="I44" s="158">
        <f>(1/I$43)*13</f>
        <v>0.3611111111111111</v>
      </c>
      <c r="J44" s="158">
        <f>(1/J$43)*7</f>
        <v>0.30434782608695654</v>
      </c>
      <c r="K44" s="162">
        <f>(1/K$43)*4</f>
        <v>0.18181818181818182</v>
      </c>
      <c r="L44" s="158">
        <f>(1/L$43)*17</f>
        <v>0.34</v>
      </c>
      <c r="M44" s="158">
        <f>(1/M$43)*7</f>
        <v>0.36842105263157893</v>
      </c>
      <c r="N44" s="162">
        <f>(1/N$43)*8</f>
        <v>0.33333333333333331</v>
      </c>
      <c r="O44" s="162">
        <f>(1/O$43)*4</f>
        <v>0.22222222222222221</v>
      </c>
      <c r="P44" s="158">
        <f>(1/P$43)*10</f>
        <v>0.34482758620689657</v>
      </c>
      <c r="Q44" s="158">
        <f>(1/Q$43)*2</f>
        <v>9.5238095238095233E-2</v>
      </c>
      <c r="R44" s="158">
        <f>(1/R$43)*30</f>
        <v>0.34883720930232559</v>
      </c>
      <c r="S44" s="158">
        <f>(1/S$43)*10</f>
        <v>0.4</v>
      </c>
      <c r="T44" s="158">
        <f>(1/T$43)*23</f>
        <v>0.41818181818181815</v>
      </c>
      <c r="U44" s="162">
        <f>(1/U$43)*6</f>
        <v>0.2608695652173913</v>
      </c>
    </row>
    <row r="45" spans="1:27" ht="12.75" customHeight="1" x14ac:dyDescent="0.25">
      <c r="A45" s="290"/>
      <c r="B45" s="139" t="s">
        <v>126</v>
      </c>
      <c r="C45" s="130">
        <v>0.26</v>
      </c>
      <c r="D45" s="130">
        <v>0.13</v>
      </c>
      <c r="E45" s="193">
        <f>(1/E$43)*98</f>
        <v>0.1031578947368421</v>
      </c>
      <c r="F45" s="215">
        <f>(1/F$43)*1</f>
        <v>3.4482758620689655E-2</v>
      </c>
      <c r="G45" s="158">
        <f>(1/G$43)*13</f>
        <v>0.16049382716049382</v>
      </c>
      <c r="H45" s="158">
        <f>(1/H$43)*4</f>
        <v>0.12121212121212122</v>
      </c>
      <c r="I45" s="158">
        <f>(1/I$43)*7</f>
        <v>0.19444444444444442</v>
      </c>
      <c r="J45" s="158">
        <f>(1/J$43)*1</f>
        <v>4.3478260869565216E-2</v>
      </c>
      <c r="K45" s="162">
        <f>(1/K$43)*1</f>
        <v>4.5454545454545456E-2</v>
      </c>
      <c r="L45" s="158">
        <f>(1/L$43)*8</f>
        <v>0.16</v>
      </c>
      <c r="M45" s="158">
        <f>(1/M$43)*1</f>
        <v>5.2631578947368418E-2</v>
      </c>
      <c r="N45" s="162">
        <f>(1/N$43)*0</f>
        <v>0</v>
      </c>
      <c r="O45" s="162">
        <f>(1/O$43)*2</f>
        <v>0.1111111111111111</v>
      </c>
      <c r="P45" s="158">
        <f>(1/P$43)*0</f>
        <v>0</v>
      </c>
      <c r="Q45" s="158">
        <f>(1/Q$43)*1</f>
        <v>4.7619047619047616E-2</v>
      </c>
      <c r="R45" s="158">
        <f>(1/R$43)*8</f>
        <v>9.3023255813953487E-2</v>
      </c>
      <c r="S45" s="158">
        <f>(1/S$43)*2</f>
        <v>0.08</v>
      </c>
      <c r="T45" s="158">
        <f>(1/T$43)*4</f>
        <v>7.2727272727272724E-2</v>
      </c>
      <c r="U45" s="162">
        <f>(1/U$43)*3</f>
        <v>0.13043478260869565</v>
      </c>
    </row>
    <row r="46" spans="1:27" ht="12.75" customHeight="1" x14ac:dyDescent="0.25">
      <c r="A46" s="290"/>
      <c r="B46" s="139" t="s">
        <v>149</v>
      </c>
      <c r="C46" s="130">
        <v>0.3</v>
      </c>
      <c r="D46" s="130">
        <v>0.38</v>
      </c>
      <c r="E46" s="193">
        <f>(1/E$43)*320</f>
        <v>0.33684210526315789</v>
      </c>
      <c r="F46" s="215">
        <f>(1/F$43)*7</f>
        <v>0.24137931034482757</v>
      </c>
      <c r="G46" s="158">
        <f>(1/G$43)*26</f>
        <v>0.32098765432098764</v>
      </c>
      <c r="H46" s="158">
        <f>(1/H$43)*14</f>
        <v>0.42424242424242425</v>
      </c>
      <c r="I46" s="158">
        <f>(1/I$43)*8</f>
        <v>0.22222222222222221</v>
      </c>
      <c r="J46" s="158">
        <f>(1/J$43)*8</f>
        <v>0.34782608695652173</v>
      </c>
      <c r="K46" s="162">
        <f>(1/K$43)*10</f>
        <v>0.45454545454545459</v>
      </c>
      <c r="L46" s="158">
        <f>(1/L$43)*15</f>
        <v>0.3</v>
      </c>
      <c r="M46" s="158">
        <f>(1/M$43)*6</f>
        <v>0.31578947368421051</v>
      </c>
      <c r="N46" s="162">
        <f>(1/N$43)*11</f>
        <v>0.45833333333333331</v>
      </c>
      <c r="O46" s="162">
        <f>(1/O$43)*9</f>
        <v>0.5</v>
      </c>
      <c r="P46" s="158">
        <f>(1/P$43)*9</f>
        <v>0.31034482758620691</v>
      </c>
      <c r="Q46" s="158">
        <f>(1/Q$43)*15</f>
        <v>0.71428571428571419</v>
      </c>
      <c r="R46" s="158">
        <f>(1/R$43)*29</f>
        <v>0.33720930232558138</v>
      </c>
      <c r="S46" s="158">
        <f>(1/S$43)*8</f>
        <v>0.32</v>
      </c>
      <c r="T46" s="158">
        <f>(1/T$43)*18</f>
        <v>0.32727272727272727</v>
      </c>
      <c r="U46" s="162">
        <f>(1/U$43)*11</f>
        <v>0.47826086956521741</v>
      </c>
    </row>
    <row r="47" spans="1:27" s="179" customFormat="1" ht="12.75" customHeight="1" thickBot="1" x14ac:dyDescent="0.3">
      <c r="A47" s="181"/>
      <c r="B47" s="176" t="s">
        <v>5</v>
      </c>
      <c r="C47" s="172">
        <v>0.17</v>
      </c>
      <c r="D47" s="172">
        <v>0.2</v>
      </c>
      <c r="E47" s="192">
        <f>(1/E$43)*201</f>
        <v>0.21157894736842106</v>
      </c>
      <c r="F47" s="213">
        <f>(1/F$43)*7</f>
        <v>0.24137931034482757</v>
      </c>
      <c r="G47" s="175">
        <f>(1/G$43)*12</f>
        <v>0.14814814814814814</v>
      </c>
      <c r="H47" s="175">
        <f>(1/H$43)*8</f>
        <v>0.24242424242424243</v>
      </c>
      <c r="I47" s="175">
        <f>(1/I$43)*8</f>
        <v>0.22222222222222221</v>
      </c>
      <c r="J47" s="175">
        <f>(1/J$43)*7</f>
        <v>0.30434782608695654</v>
      </c>
      <c r="K47" s="180">
        <f>(1/K$43)*7</f>
        <v>0.31818181818181818</v>
      </c>
      <c r="L47" s="175">
        <f>(1/L$43)*10</f>
        <v>0.2</v>
      </c>
      <c r="M47" s="175">
        <f>(1/M$43)*5</f>
        <v>0.26315789473684209</v>
      </c>
      <c r="N47" s="180">
        <f>(1/N$43)*5</f>
        <v>0.20833333333333331</v>
      </c>
      <c r="O47" s="180">
        <f>(1/O$43)*3</f>
        <v>0.16666666666666666</v>
      </c>
      <c r="P47" s="175">
        <f>(1/P$43)*10</f>
        <v>0.34482758620689657</v>
      </c>
      <c r="Q47" s="175">
        <f>(1/Q$43)*3</f>
        <v>0.14285714285714285</v>
      </c>
      <c r="R47" s="175">
        <f>(1/R$43)*19</f>
        <v>0.22093023255813954</v>
      </c>
      <c r="S47" s="175">
        <f>(1/S$43)*5</f>
        <v>0.2</v>
      </c>
      <c r="T47" s="175">
        <f>(1/T$43)*10</f>
        <v>0.18181818181818182</v>
      </c>
      <c r="U47" s="180">
        <f>(1/U$43)*3</f>
        <v>0.13043478260869565</v>
      </c>
      <c r="V47" s="154"/>
      <c r="W47" s="154"/>
      <c r="X47" s="154"/>
      <c r="Y47" s="154"/>
      <c r="Z47" s="154"/>
      <c r="AA47" s="154"/>
    </row>
    <row r="48" spans="1:27" ht="11.25" customHeight="1" thickTop="1" x14ac:dyDescent="0.25">
      <c r="A48" s="294" t="s">
        <v>256</v>
      </c>
      <c r="B48" s="139" t="s">
        <v>130</v>
      </c>
      <c r="D48" s="128">
        <v>0.38</v>
      </c>
      <c r="E48" s="197">
        <v>0.42</v>
      </c>
      <c r="F48" s="215">
        <v>0.45</v>
      </c>
      <c r="G48" s="158">
        <v>0.4</v>
      </c>
      <c r="H48" s="158">
        <v>0.38</v>
      </c>
      <c r="I48" s="158">
        <v>0.38</v>
      </c>
      <c r="J48" s="158">
        <v>0.43</v>
      </c>
      <c r="K48" s="162">
        <v>0.59</v>
      </c>
      <c r="L48" s="158">
        <v>0.33</v>
      </c>
      <c r="M48" s="158">
        <v>0.4</v>
      </c>
      <c r="N48" s="162">
        <v>0.48</v>
      </c>
      <c r="O48" s="162">
        <v>0.4</v>
      </c>
      <c r="P48" s="158">
        <v>0.41</v>
      </c>
      <c r="Q48" s="158">
        <v>0.45</v>
      </c>
      <c r="R48" s="158">
        <v>0.45</v>
      </c>
      <c r="S48" s="158">
        <v>0.52</v>
      </c>
      <c r="T48" s="158">
        <v>0.33</v>
      </c>
      <c r="U48" s="162">
        <v>0.38</v>
      </c>
    </row>
    <row r="49" spans="1:27" ht="11.25" customHeight="1" x14ac:dyDescent="0.25">
      <c r="A49" s="295"/>
      <c r="B49" s="139" t="s">
        <v>187</v>
      </c>
      <c r="D49" s="128">
        <v>0.38</v>
      </c>
      <c r="E49" s="197">
        <v>0.37</v>
      </c>
      <c r="F49" s="215">
        <v>0.42</v>
      </c>
      <c r="G49" s="158">
        <v>0.39</v>
      </c>
      <c r="H49" s="158">
        <v>0.38</v>
      </c>
      <c r="I49" s="158">
        <v>0.46</v>
      </c>
      <c r="J49" s="158">
        <v>0.13</v>
      </c>
      <c r="K49" s="162">
        <v>0.32</v>
      </c>
      <c r="L49" s="158">
        <v>0.42</v>
      </c>
      <c r="M49" s="158">
        <v>0.45</v>
      </c>
      <c r="N49" s="162">
        <v>0.2</v>
      </c>
      <c r="O49" s="162">
        <v>0.3</v>
      </c>
      <c r="P49" s="158">
        <v>0.28000000000000003</v>
      </c>
      <c r="Q49" s="158">
        <v>0.32</v>
      </c>
      <c r="R49" s="158">
        <v>0.4</v>
      </c>
      <c r="S49" s="158">
        <v>0.36</v>
      </c>
      <c r="T49" s="158">
        <v>0.47</v>
      </c>
      <c r="U49" s="162">
        <v>0.38</v>
      </c>
    </row>
    <row r="50" spans="1:27" s="179" customFormat="1" ht="11.25" customHeight="1" thickBot="1" x14ac:dyDescent="0.3">
      <c r="A50" s="296"/>
      <c r="B50" s="176" t="s">
        <v>186</v>
      </c>
      <c r="C50" s="172"/>
      <c r="D50" s="177">
        <v>0.24</v>
      </c>
      <c r="E50" s="198">
        <v>0.2</v>
      </c>
      <c r="F50" s="213">
        <v>0.13</v>
      </c>
      <c r="G50" s="175">
        <v>0.2</v>
      </c>
      <c r="H50" s="175">
        <v>0.24</v>
      </c>
      <c r="I50" s="175">
        <v>0.16</v>
      </c>
      <c r="J50" s="175">
        <v>0.43</v>
      </c>
      <c r="K50" s="180">
        <v>0.09</v>
      </c>
      <c r="L50" s="175">
        <v>0.25</v>
      </c>
      <c r="M50" s="175">
        <v>0.15</v>
      </c>
      <c r="N50" s="180">
        <v>0.32</v>
      </c>
      <c r="O50" s="180">
        <v>0.3</v>
      </c>
      <c r="P50" s="175">
        <v>0.31</v>
      </c>
      <c r="Q50" s="175">
        <v>0.23</v>
      </c>
      <c r="R50" s="175">
        <v>0.15</v>
      </c>
      <c r="S50" s="175">
        <v>0.12</v>
      </c>
      <c r="T50" s="175">
        <v>0.21</v>
      </c>
      <c r="U50" s="180">
        <v>0.25</v>
      </c>
      <c r="V50" s="154"/>
      <c r="W50" s="154"/>
      <c r="X50" s="154"/>
      <c r="Y50" s="154"/>
      <c r="Z50" s="154"/>
      <c r="AA50" s="154"/>
    </row>
    <row r="51" spans="1:27" ht="11.25" customHeight="1" thickTop="1" x14ac:dyDescent="0.25">
      <c r="A51" s="290" t="s">
        <v>236</v>
      </c>
      <c r="B51" s="139" t="s">
        <v>237</v>
      </c>
      <c r="C51" s="131"/>
      <c r="D51" s="131"/>
      <c r="E51" s="199">
        <v>864</v>
      </c>
      <c r="F51" s="289">
        <v>28</v>
      </c>
      <c r="G51" s="163">
        <v>78</v>
      </c>
      <c r="H51" s="163">
        <v>33</v>
      </c>
      <c r="I51" s="163">
        <v>33</v>
      </c>
      <c r="J51" s="163">
        <v>21</v>
      </c>
      <c r="K51" s="207">
        <v>19</v>
      </c>
      <c r="L51" s="163">
        <v>48</v>
      </c>
      <c r="M51" s="163">
        <v>19</v>
      </c>
      <c r="N51" s="207">
        <v>23</v>
      </c>
      <c r="O51" s="207">
        <v>19</v>
      </c>
      <c r="P51" s="163">
        <v>25</v>
      </c>
      <c r="Q51" s="163">
        <v>21</v>
      </c>
      <c r="R51" s="163">
        <v>81</v>
      </c>
      <c r="S51" s="163">
        <v>24</v>
      </c>
      <c r="T51" s="163">
        <v>55</v>
      </c>
      <c r="U51" s="207">
        <v>23</v>
      </c>
    </row>
    <row r="52" spans="1:27" ht="11.25" customHeight="1" x14ac:dyDescent="0.25">
      <c r="A52" s="290"/>
      <c r="B52" s="139" t="s">
        <v>7</v>
      </c>
      <c r="C52" s="131">
        <v>0.17</v>
      </c>
      <c r="D52" s="131">
        <v>0.11</v>
      </c>
      <c r="E52" s="186">
        <f>(1/E$51)*189</f>
        <v>0.21875</v>
      </c>
      <c r="F52" s="209">
        <f>(1/F$51)*4</f>
        <v>0.14285714285714285</v>
      </c>
      <c r="G52" s="157">
        <f>(1/G$51)*15</f>
        <v>0.19230769230769229</v>
      </c>
      <c r="H52" s="157">
        <f>(1/H$51)*7</f>
        <v>0.21212121212121213</v>
      </c>
      <c r="I52" s="157">
        <f>(1/I$51)*9</f>
        <v>0.27272727272727271</v>
      </c>
      <c r="J52" s="157">
        <f>(1/J$51)*5</f>
        <v>0.23809523809523808</v>
      </c>
      <c r="K52" s="201">
        <f>(1/K$51)*3</f>
        <v>0.15789473684210525</v>
      </c>
      <c r="L52" s="157">
        <f>(1/L$51)*11</f>
        <v>0.22916666666666666</v>
      </c>
      <c r="M52" s="157">
        <f>(1/M$51)*5</f>
        <v>0.26315789473684209</v>
      </c>
      <c r="N52" s="201">
        <f>(1/N$51)*4</f>
        <v>0.17391304347826086</v>
      </c>
      <c r="O52" s="201">
        <f>(1/O$51)*3</f>
        <v>0.15789473684210525</v>
      </c>
      <c r="P52" s="157">
        <f>(1/P$51)*6</f>
        <v>0.24</v>
      </c>
      <c r="Q52" s="157">
        <f>(1/Q$51)*5</f>
        <v>0.23809523809523808</v>
      </c>
      <c r="R52" s="157">
        <f>(1/R$51)*20</f>
        <v>0.24691358024691357</v>
      </c>
      <c r="S52" s="157">
        <f>(1/S$51)*4</f>
        <v>0.16666666666666666</v>
      </c>
      <c r="T52" s="157">
        <f>(1/T$51)*13</f>
        <v>0.23636363636363636</v>
      </c>
      <c r="U52" s="201">
        <f>(1/U$51)*5</f>
        <v>0.21739130434782608</v>
      </c>
    </row>
    <row r="53" spans="1:27" ht="11.25" customHeight="1" x14ac:dyDescent="0.25">
      <c r="A53" s="290"/>
      <c r="B53" s="142" t="s">
        <v>119</v>
      </c>
      <c r="C53" s="131">
        <v>0.34</v>
      </c>
      <c r="D53" s="131">
        <v>0.55000000000000004</v>
      </c>
      <c r="E53" s="186">
        <f>(1/E$51)*394</f>
        <v>0.45601851851851849</v>
      </c>
      <c r="F53" s="209">
        <f>(1/F$51)*10</f>
        <v>0.3571428571428571</v>
      </c>
      <c r="G53" s="157">
        <f>(1/G$51)*32</f>
        <v>0.41025641025641024</v>
      </c>
      <c r="H53" s="157">
        <f>(1/H$51)*13</f>
        <v>0.39393939393939392</v>
      </c>
      <c r="I53" s="157">
        <f>(1/I$51)*9</f>
        <v>0.27272727272727271</v>
      </c>
      <c r="J53" s="157">
        <f>(1/J$51)*12</f>
        <v>0.5714285714285714</v>
      </c>
      <c r="K53" s="201">
        <f>(1/K$51)*6</f>
        <v>0.31578947368421051</v>
      </c>
      <c r="L53" s="157">
        <f>(1/L$51)*25</f>
        <v>0.52083333333333326</v>
      </c>
      <c r="M53" s="157">
        <f>(1/M$51)*9</f>
        <v>0.47368421052631576</v>
      </c>
      <c r="N53" s="201">
        <f>(1/N$51)*12</f>
        <v>0.52173913043478259</v>
      </c>
      <c r="O53" s="201">
        <f>(1/O$51)*10</f>
        <v>0.52631578947368418</v>
      </c>
      <c r="P53" s="157">
        <f>(1/P$51)*9</f>
        <v>0.36</v>
      </c>
      <c r="Q53" s="157">
        <f>(1/Q$51)*10</f>
        <v>0.47619047619047616</v>
      </c>
      <c r="R53" s="157">
        <f>(1/R$51)*32</f>
        <v>0.39506172839506171</v>
      </c>
      <c r="S53" s="157">
        <f>(1/S$51)*10</f>
        <v>0.41666666666666663</v>
      </c>
      <c r="T53" s="157">
        <f>(1/T$51)*28</f>
        <v>0.50909090909090904</v>
      </c>
      <c r="U53" s="201">
        <f>(1/U$51)*12</f>
        <v>0.52173913043478259</v>
      </c>
    </row>
    <row r="54" spans="1:27" ht="11.25" customHeight="1" x14ac:dyDescent="0.25">
      <c r="A54" s="290"/>
      <c r="B54" s="142" t="s">
        <v>8</v>
      </c>
      <c r="C54" s="130">
        <v>0.23</v>
      </c>
      <c r="D54" s="130">
        <v>0.25</v>
      </c>
      <c r="E54" s="186">
        <f>(1/E$51)*255</f>
        <v>0.2951388888888889</v>
      </c>
      <c r="F54" s="209">
        <f>(1/F$51)*5</f>
        <v>0.17857142857142855</v>
      </c>
      <c r="G54" s="157">
        <f>(1/G$51)*24</f>
        <v>0.30769230769230771</v>
      </c>
      <c r="H54" s="157">
        <f>(1/H$51)*7</f>
        <v>0.21212121212121213</v>
      </c>
      <c r="I54" s="157">
        <f>(1/I$51)*6</f>
        <v>0.18181818181818182</v>
      </c>
      <c r="J54" s="157">
        <f>(1/J$51)*7</f>
        <v>0.33333333333333331</v>
      </c>
      <c r="K54" s="201">
        <f>(1/K$51)*4</f>
        <v>0.21052631578947367</v>
      </c>
      <c r="L54" s="157">
        <f>(1/L$51)*14</f>
        <v>0.29166666666666663</v>
      </c>
      <c r="M54" s="157">
        <f>(1/M$51)*7</f>
        <v>0.36842105263157893</v>
      </c>
      <c r="N54" s="201">
        <f>(1/N$51)*8</f>
        <v>0.34782608695652173</v>
      </c>
      <c r="O54" s="201">
        <f>(1/O$51)*4</f>
        <v>0.21052631578947367</v>
      </c>
      <c r="P54" s="157">
        <f>(1/P$51)*8</f>
        <v>0.32</v>
      </c>
      <c r="Q54" s="157">
        <f>(1/Q$51)*3</f>
        <v>0.14285714285714285</v>
      </c>
      <c r="R54" s="157">
        <f>(1/R$51)*21</f>
        <v>0.25925925925925924</v>
      </c>
      <c r="S54" s="157">
        <f>(1/S$51)*4</f>
        <v>0.16666666666666666</v>
      </c>
      <c r="T54" s="157">
        <f>(1/T$51)*17</f>
        <v>0.30909090909090908</v>
      </c>
      <c r="U54" s="201">
        <f>(1/U$51)*3</f>
        <v>0.13043478260869565</v>
      </c>
    </row>
    <row r="55" spans="1:27" ht="11.25" customHeight="1" x14ac:dyDescent="0.25">
      <c r="A55" s="290"/>
      <c r="B55" s="139" t="s">
        <v>120</v>
      </c>
      <c r="C55" s="131">
        <v>0.1</v>
      </c>
      <c r="D55" s="131">
        <v>0.13</v>
      </c>
      <c r="E55" s="186">
        <f>(1/E$51)*87</f>
        <v>0.10069444444444443</v>
      </c>
      <c r="F55" s="209">
        <f>(1/F$51)*3</f>
        <v>0.10714285714285714</v>
      </c>
      <c r="G55" s="157">
        <f>(1/G$51)*10</f>
        <v>0.12820512820512819</v>
      </c>
      <c r="H55" s="157">
        <f>(1/H$51)*3</f>
        <v>9.0909090909090912E-2</v>
      </c>
      <c r="I55" s="157">
        <f>(1/I$51)*1</f>
        <v>3.0303030303030304E-2</v>
      </c>
      <c r="J55" s="157">
        <f>(1/J$51)*5</f>
        <v>0.23809523809523808</v>
      </c>
      <c r="K55" s="201">
        <f>(1/K$51)*0</f>
        <v>0</v>
      </c>
      <c r="L55" s="157">
        <f>(1/L$51)*5</f>
        <v>0.10416666666666666</v>
      </c>
      <c r="M55" s="157">
        <f>(1/M$51)*0</f>
        <v>0</v>
      </c>
      <c r="N55" s="201">
        <f>(1/N$51)*2</f>
        <v>8.6956521739130432E-2</v>
      </c>
      <c r="O55" s="201">
        <f>(1/O$51)*7</f>
        <v>0.36842105263157893</v>
      </c>
      <c r="P55" s="157">
        <f>(1/P$51)*5</f>
        <v>0.2</v>
      </c>
      <c r="Q55" s="157">
        <f>(1/Q$51)*6</f>
        <v>0.2857142857142857</v>
      </c>
      <c r="R55" s="157">
        <f>(1/R$51)*9</f>
        <v>0.1111111111111111</v>
      </c>
      <c r="S55" s="157">
        <f>(1/S$51)*0</f>
        <v>0</v>
      </c>
      <c r="T55" s="157">
        <f>(1/T$51)*4</f>
        <v>7.2727272727272724E-2</v>
      </c>
      <c r="U55" s="201">
        <f>(1/U$51)*3</f>
        <v>0.13043478260869565</v>
      </c>
    </row>
    <row r="56" spans="1:27" ht="22.5" customHeight="1" x14ac:dyDescent="0.25">
      <c r="A56" s="290"/>
      <c r="B56" s="142" t="s">
        <v>169</v>
      </c>
      <c r="C56" s="131"/>
      <c r="D56" s="131">
        <v>0.41</v>
      </c>
      <c r="E56" s="186">
        <f>(1/E$51)*177</f>
        <v>0.2048611111111111</v>
      </c>
      <c r="F56" s="209">
        <f>(1/F$51)*10</f>
        <v>0.3571428571428571</v>
      </c>
      <c r="G56" s="157">
        <f>(1/G$51)*13</f>
        <v>0.16666666666666666</v>
      </c>
      <c r="H56" s="157">
        <f>(1/H$51)*8</f>
        <v>0.24242424242424243</v>
      </c>
      <c r="I56" s="157">
        <f>(1/I$51)*7</f>
        <v>0.21212121212121213</v>
      </c>
      <c r="J56" s="157">
        <f>(1/J$51)*1</f>
        <v>4.7619047619047616E-2</v>
      </c>
      <c r="K56" s="201">
        <f>(1/K$51)*4</f>
        <v>0.21052631578947367</v>
      </c>
      <c r="L56" s="157">
        <f>(1/L$51)*7</f>
        <v>0.14583333333333331</v>
      </c>
      <c r="M56" s="157">
        <f>(1/M$51)*1</f>
        <v>5.2631578947368418E-2</v>
      </c>
      <c r="N56" s="201">
        <f>(1/N$51)*3</f>
        <v>0.13043478260869565</v>
      </c>
      <c r="O56" s="201">
        <f>(1/O$51)*6</f>
        <v>0.31578947368421051</v>
      </c>
      <c r="P56" s="157">
        <f>(1/P$51)*10</f>
        <v>0.4</v>
      </c>
      <c r="Q56" s="157">
        <f>(1/Q$51)*6</f>
        <v>0.2857142857142857</v>
      </c>
      <c r="R56" s="157">
        <f>(1/R$51)*15</f>
        <v>0.18518518518518517</v>
      </c>
      <c r="S56" s="157">
        <f>(1/S$51)*5</f>
        <v>0.20833333333333331</v>
      </c>
      <c r="T56" s="157">
        <f>(1/T$51)*11</f>
        <v>0.19999999999999998</v>
      </c>
      <c r="U56" s="201">
        <f>(1/U$51)*2</f>
        <v>8.6956521739130432E-2</v>
      </c>
    </row>
    <row r="57" spans="1:27" ht="22.5" customHeight="1" x14ac:dyDescent="0.25">
      <c r="A57" s="290"/>
      <c r="B57" s="142" t="s">
        <v>171</v>
      </c>
      <c r="C57" s="131"/>
      <c r="D57" s="131">
        <v>0.24</v>
      </c>
      <c r="E57" s="186">
        <f>(1/E$51)*94</f>
        <v>0.10879629629629629</v>
      </c>
      <c r="F57" s="209">
        <f>(1/F$51)*3</f>
        <v>0.10714285714285714</v>
      </c>
      <c r="G57" s="157">
        <f>(1/G$51)*16</f>
        <v>0.20512820512820512</v>
      </c>
      <c r="H57" s="157">
        <f>(1/H$51)*7</f>
        <v>0.21212121212121213</v>
      </c>
      <c r="I57" s="157">
        <f>(1/I$51)*3</f>
        <v>9.0909090909090912E-2</v>
      </c>
      <c r="J57" s="157">
        <f>(1/J$51)*5</f>
        <v>0.23809523809523808</v>
      </c>
      <c r="K57" s="201">
        <f>(1/K$51)*2</f>
        <v>0.10526315789473684</v>
      </c>
      <c r="L57" s="157">
        <f>(1/L$51)*6</f>
        <v>0.125</v>
      </c>
      <c r="M57" s="157">
        <f>(1/M$51)*3</f>
        <v>0.15789473684210525</v>
      </c>
      <c r="N57" s="201">
        <f>(1/N$51)*2</f>
        <v>8.6956521739130432E-2</v>
      </c>
      <c r="O57" s="201">
        <f>(1/O$51)*0</f>
        <v>0</v>
      </c>
      <c r="P57" s="157">
        <f>(1/P$51)*5</f>
        <v>0.2</v>
      </c>
      <c r="Q57" s="157">
        <f>(1/Q$51)*3</f>
        <v>0.14285714285714285</v>
      </c>
      <c r="R57" s="157">
        <f>(1/R$51)*5</f>
        <v>6.1728395061728392E-2</v>
      </c>
      <c r="S57" s="157">
        <f>(1/S$51)*1</f>
        <v>4.1666666666666664E-2</v>
      </c>
      <c r="T57" s="157">
        <f>(1/T$51)*10</f>
        <v>0.18181818181818182</v>
      </c>
      <c r="U57" s="201">
        <f>(1/U$51)*0</f>
        <v>0</v>
      </c>
    </row>
    <row r="58" spans="1:27" ht="11.25" customHeight="1" x14ac:dyDescent="0.25">
      <c r="A58" s="290"/>
      <c r="B58" s="142" t="s">
        <v>121</v>
      </c>
      <c r="C58" s="131">
        <v>0.28999999999999998</v>
      </c>
      <c r="D58" s="131">
        <v>0.28999999999999998</v>
      </c>
      <c r="E58" s="186">
        <f>(1/E$51)*142</f>
        <v>0.16435185185185183</v>
      </c>
      <c r="F58" s="209">
        <f>(1/F$51)*3</f>
        <v>0.10714285714285714</v>
      </c>
      <c r="G58" s="157">
        <f>(1/G$51)*9</f>
        <v>0.11538461538461538</v>
      </c>
      <c r="H58" s="157">
        <f>(1/H$51)*4</f>
        <v>0.12121212121212122</v>
      </c>
      <c r="I58" s="157">
        <f>(1/I$51)*2</f>
        <v>6.0606060606060608E-2</v>
      </c>
      <c r="J58" s="157">
        <f>(1/J$51)*0</f>
        <v>0</v>
      </c>
      <c r="K58" s="201">
        <f>(1/K$51)*2</f>
        <v>0.10526315789473684</v>
      </c>
      <c r="L58" s="157">
        <f>(1/L$51)*4</f>
        <v>8.3333333333333329E-2</v>
      </c>
      <c r="M58" s="157">
        <f>(1/M$51)*8</f>
        <v>0.42105263157894735</v>
      </c>
      <c r="N58" s="201">
        <f>(1/N$51)*6</f>
        <v>0.2608695652173913</v>
      </c>
      <c r="O58" s="201">
        <f>(1/O$51)*4</f>
        <v>0.21052631578947367</v>
      </c>
      <c r="P58" s="157">
        <f>(1/P$51)*4</f>
        <v>0.16</v>
      </c>
      <c r="Q58" s="157">
        <f>(1/Q$51)*3</f>
        <v>0.14285714285714285</v>
      </c>
      <c r="R58" s="157">
        <f>(1/R$51)*10</f>
        <v>0.12345679012345678</v>
      </c>
      <c r="S58" s="157">
        <f>(1/S$51)*2</f>
        <v>8.3333333333333329E-2</v>
      </c>
      <c r="T58" s="157">
        <f>(1/T$51)*15</f>
        <v>0.27272727272727271</v>
      </c>
      <c r="U58" s="201">
        <f>(1/U$51)*1</f>
        <v>4.3478260869565216E-2</v>
      </c>
    </row>
    <row r="59" spans="1:27" ht="11.25" customHeight="1" x14ac:dyDescent="0.25">
      <c r="A59" s="290"/>
      <c r="B59" s="142" t="s">
        <v>122</v>
      </c>
      <c r="C59" s="131">
        <v>0.22</v>
      </c>
      <c r="D59" s="131">
        <v>0.3</v>
      </c>
      <c r="E59" s="186">
        <f>(1/E$51)*154</f>
        <v>0.17824074074074073</v>
      </c>
      <c r="F59" s="209">
        <f>(1/F$51)*4</f>
        <v>0.14285714285714285</v>
      </c>
      <c r="G59" s="157">
        <f>(1/G$51)*12</f>
        <v>0.15384615384615385</v>
      </c>
      <c r="H59" s="157">
        <f>(1/H$51)*6</f>
        <v>0.18181818181818182</v>
      </c>
      <c r="I59" s="157">
        <f>(1/I$51)*8</f>
        <v>0.24242424242424243</v>
      </c>
      <c r="J59" s="157">
        <f>(1/J$51)*3</f>
        <v>0.14285714285714285</v>
      </c>
      <c r="K59" s="201">
        <f>(1/K$51)*8</f>
        <v>0.42105263157894735</v>
      </c>
      <c r="L59" s="157">
        <f>(1/L$51)*6</f>
        <v>0.125</v>
      </c>
      <c r="M59" s="157">
        <f>(1/M$51)*7</f>
        <v>0.36842105263157893</v>
      </c>
      <c r="N59" s="201">
        <f>(1/N$51)*4</f>
        <v>0.17391304347826086</v>
      </c>
      <c r="O59" s="201">
        <f>(1/O$51)*3</f>
        <v>0.15789473684210525</v>
      </c>
      <c r="P59" s="157">
        <f>(1/P$51)*4</f>
        <v>0.16</v>
      </c>
      <c r="Q59" s="157">
        <f>(1/Q$51)*5</f>
        <v>0.23809523809523808</v>
      </c>
      <c r="R59" s="157">
        <f>(1/R$51)*15</f>
        <v>0.18518518518518517</v>
      </c>
      <c r="S59" s="157">
        <f>(1/S$51)*3</f>
        <v>0.125</v>
      </c>
      <c r="T59" s="157">
        <f>(1/T$51)*5</f>
        <v>9.0909090909090912E-2</v>
      </c>
      <c r="U59" s="201">
        <f>(1/U$51)*5</f>
        <v>0.21739130434782608</v>
      </c>
    </row>
    <row r="60" spans="1:27" ht="24.75" customHeight="1" x14ac:dyDescent="0.25">
      <c r="A60" s="290"/>
      <c r="B60" s="142" t="s">
        <v>123</v>
      </c>
      <c r="C60" s="131">
        <v>0.28000000000000003</v>
      </c>
      <c r="D60" s="131">
        <v>0.25</v>
      </c>
      <c r="E60" s="186">
        <f>(1/E$51)*123</f>
        <v>0.1423611111111111</v>
      </c>
      <c r="F60" s="209">
        <f>(1/F$51)*2</f>
        <v>7.1428571428571425E-2</v>
      </c>
      <c r="G60" s="157">
        <f>(1/G$51)*12</f>
        <v>0.15384615384615385</v>
      </c>
      <c r="H60" s="157">
        <f>(1/H$51)*4</f>
        <v>0.12121212121212122</v>
      </c>
      <c r="I60" s="157">
        <f>(1/I$51)*7</f>
        <v>0.21212121212121213</v>
      </c>
      <c r="J60" s="157">
        <f>(1/J$51)*3</f>
        <v>0.14285714285714285</v>
      </c>
      <c r="K60" s="201">
        <f>(1/K$51)*6</f>
        <v>0.31578947368421051</v>
      </c>
      <c r="L60" s="157">
        <f>(1/L$51)*11</f>
        <v>0.22916666666666666</v>
      </c>
      <c r="M60" s="157">
        <f>(1/M$51)*3</f>
        <v>0.15789473684210525</v>
      </c>
      <c r="N60" s="201">
        <f>(1/N$51)*3</f>
        <v>0.13043478260869565</v>
      </c>
      <c r="O60" s="201">
        <f>(1/O$51)*4</f>
        <v>0.21052631578947367</v>
      </c>
      <c r="P60" s="157">
        <f>(1/P$51)*4</f>
        <v>0.16</v>
      </c>
      <c r="Q60" s="157">
        <f>(1/Q$51)*2</f>
        <v>9.5238095238095233E-2</v>
      </c>
      <c r="R60" s="157">
        <f>(1/R$51)*11</f>
        <v>0.13580246913580246</v>
      </c>
      <c r="S60" s="157">
        <f>(1/S$51)*3</f>
        <v>0.125</v>
      </c>
      <c r="T60" s="157">
        <f>(1/T$51)*8</f>
        <v>0.14545454545454545</v>
      </c>
      <c r="U60" s="201">
        <f>(1/U$51)*5</f>
        <v>0.21739130434782608</v>
      </c>
    </row>
    <row r="61" spans="1:27" s="145" customFormat="1" ht="22.5" customHeight="1" x14ac:dyDescent="0.25">
      <c r="A61" s="169"/>
      <c r="B61" s="155" t="s">
        <v>124</v>
      </c>
      <c r="C61" s="132">
        <v>0.56999999999999995</v>
      </c>
      <c r="D61" s="132">
        <v>0.53</v>
      </c>
      <c r="E61" s="200">
        <f>(1/E$51)*231</f>
        <v>0.2673611111111111</v>
      </c>
      <c r="F61" s="234">
        <f>(1/F$51)*8</f>
        <v>0.2857142857142857</v>
      </c>
      <c r="G61" s="164">
        <f>(1/G$51)*18</f>
        <v>0.23076923076923075</v>
      </c>
      <c r="H61" s="164">
        <f>(1/H$51)*13</f>
        <v>0.39393939393939392</v>
      </c>
      <c r="I61" s="164">
        <f>(1/I$51)*10</f>
        <v>0.30303030303030304</v>
      </c>
      <c r="J61" s="164">
        <f>(1/J$51)*3</f>
        <v>0.14285714285714285</v>
      </c>
      <c r="K61" s="208">
        <f>(1/K$51)*7</f>
        <v>0.36842105263157893</v>
      </c>
      <c r="L61" s="164">
        <f>(1/L$51)*10</f>
        <v>0.20833333333333331</v>
      </c>
      <c r="M61" s="164">
        <f>(1/M$51)*4</f>
        <v>0.21052631578947367</v>
      </c>
      <c r="N61" s="208">
        <f>(1/N$51)*4</f>
        <v>0.17391304347826086</v>
      </c>
      <c r="O61" s="208">
        <f>(1/O$51)*5</f>
        <v>0.26315789473684209</v>
      </c>
      <c r="P61" s="164">
        <f>(1/P$51)*10</f>
        <v>0.4</v>
      </c>
      <c r="Q61" s="164">
        <f>(1/Q$51)*6</f>
        <v>0.2857142857142857</v>
      </c>
      <c r="R61" s="164">
        <f>(1/R$51)*18</f>
        <v>0.22222222222222221</v>
      </c>
      <c r="S61" s="164">
        <f>(1/S$51)*10</f>
        <v>0.41666666666666663</v>
      </c>
      <c r="T61" s="164">
        <f>(1/T$51)*15</f>
        <v>0.27272727272727271</v>
      </c>
      <c r="U61" s="208">
        <f>(1/U$51)*11</f>
        <v>0.47826086956521741</v>
      </c>
      <c r="V61" s="274"/>
      <c r="W61" s="274"/>
      <c r="X61" s="274"/>
      <c r="Y61" s="274"/>
      <c r="Z61" s="274"/>
      <c r="AA61" s="274"/>
    </row>
    <row r="62" spans="1:27" s="145" customFormat="1" x14ac:dyDescent="0.25">
      <c r="A62" s="143"/>
      <c r="B62" s="144"/>
      <c r="C62" s="133"/>
      <c r="D62" s="133"/>
      <c r="E62" s="166"/>
      <c r="F62" s="275"/>
      <c r="G62" s="275"/>
      <c r="H62" s="275"/>
      <c r="I62" s="276"/>
      <c r="J62" s="276"/>
      <c r="K62" s="276"/>
      <c r="L62" s="276"/>
      <c r="M62" s="276"/>
      <c r="N62" s="277"/>
      <c r="O62" s="277"/>
      <c r="P62" s="277"/>
      <c r="Q62" s="277"/>
      <c r="R62" s="278"/>
      <c r="S62" s="277"/>
      <c r="T62" s="277"/>
      <c r="U62" s="277"/>
      <c r="V62" s="274"/>
      <c r="W62" s="274"/>
      <c r="X62" s="274"/>
      <c r="Y62" s="274"/>
      <c r="Z62" s="274"/>
      <c r="AA62" s="274"/>
    </row>
    <row r="63" spans="1:27" s="145" customFormat="1" x14ac:dyDescent="0.25">
      <c r="A63" s="143"/>
      <c r="B63" s="144"/>
      <c r="C63" s="133"/>
      <c r="D63" s="133"/>
      <c r="E63" s="166"/>
      <c r="F63" s="275"/>
      <c r="G63" s="275"/>
      <c r="H63" s="275"/>
      <c r="I63" s="276"/>
      <c r="J63" s="276"/>
      <c r="K63" s="276"/>
      <c r="L63" s="276"/>
      <c r="M63" s="276"/>
      <c r="N63" s="277"/>
      <c r="O63" s="277"/>
      <c r="P63" s="277"/>
      <c r="Q63" s="277"/>
      <c r="R63" s="278"/>
      <c r="S63" s="277"/>
      <c r="T63" s="277"/>
      <c r="U63" s="277"/>
      <c r="V63" s="274"/>
      <c r="W63" s="274"/>
      <c r="X63" s="274"/>
      <c r="Y63" s="274"/>
      <c r="Z63" s="274"/>
      <c r="AA63" s="274"/>
    </row>
    <row r="64" spans="1:27" s="145" customFormat="1" x14ac:dyDescent="0.25">
      <c r="A64" s="143"/>
      <c r="B64" s="144"/>
      <c r="C64" s="133"/>
      <c r="D64" s="133"/>
      <c r="E64" s="166"/>
      <c r="F64" s="275"/>
      <c r="G64" s="275"/>
      <c r="H64" s="275"/>
      <c r="I64" s="276"/>
      <c r="J64" s="276"/>
      <c r="K64" s="276"/>
      <c r="L64" s="276"/>
      <c r="M64" s="276"/>
      <c r="N64" s="277"/>
      <c r="O64" s="277"/>
      <c r="P64" s="277"/>
      <c r="Q64" s="277"/>
      <c r="R64" s="278"/>
      <c r="S64" s="277"/>
      <c r="T64" s="277"/>
      <c r="U64" s="277"/>
      <c r="V64" s="274"/>
      <c r="W64" s="274"/>
      <c r="X64" s="274"/>
      <c r="Y64" s="274"/>
      <c r="Z64" s="274"/>
      <c r="AA64" s="274"/>
    </row>
    <row r="65" spans="1:27" s="145" customFormat="1" x14ac:dyDescent="0.25">
      <c r="A65" s="143"/>
      <c r="B65" s="144"/>
      <c r="C65" s="133"/>
      <c r="D65" s="133"/>
      <c r="E65" s="166"/>
      <c r="F65" s="275"/>
      <c r="G65" s="275"/>
      <c r="H65" s="275"/>
      <c r="I65" s="276"/>
      <c r="J65" s="276"/>
      <c r="K65" s="276"/>
      <c r="L65" s="276"/>
      <c r="M65" s="276"/>
      <c r="N65" s="277"/>
      <c r="O65" s="277"/>
      <c r="P65" s="277"/>
      <c r="Q65" s="277"/>
      <c r="R65" s="278"/>
      <c r="S65" s="277"/>
      <c r="T65" s="277"/>
      <c r="U65" s="277"/>
      <c r="V65" s="274"/>
      <c r="W65" s="274"/>
      <c r="X65" s="274"/>
      <c r="Y65" s="274"/>
      <c r="Z65" s="274"/>
      <c r="AA65" s="274"/>
    </row>
    <row r="66" spans="1:27" s="145" customFormat="1" x14ac:dyDescent="0.25">
      <c r="A66" s="143"/>
      <c r="B66" s="144"/>
      <c r="C66" s="133"/>
      <c r="D66" s="133"/>
      <c r="E66" s="166"/>
      <c r="F66" s="275"/>
      <c r="G66" s="275"/>
      <c r="H66" s="275"/>
      <c r="I66" s="276"/>
      <c r="J66" s="276"/>
      <c r="K66" s="276"/>
      <c r="L66" s="276"/>
      <c r="M66" s="276"/>
      <c r="N66" s="277"/>
      <c r="O66" s="277"/>
      <c r="P66" s="277"/>
      <c r="Q66" s="277"/>
      <c r="R66" s="278"/>
      <c r="S66" s="277"/>
      <c r="T66" s="277"/>
      <c r="U66" s="277"/>
      <c r="V66" s="274"/>
      <c r="W66" s="274"/>
      <c r="X66" s="274"/>
      <c r="Y66" s="274"/>
      <c r="Z66" s="274"/>
      <c r="AA66" s="274"/>
    </row>
    <row r="67" spans="1:27" x14ac:dyDescent="0.25">
      <c r="B67" s="144"/>
      <c r="C67" s="133"/>
      <c r="I67" s="276"/>
      <c r="J67" s="276"/>
      <c r="K67" s="276"/>
      <c r="L67" s="276"/>
      <c r="M67" s="276"/>
      <c r="N67" s="277"/>
      <c r="O67" s="277"/>
      <c r="P67" s="277"/>
      <c r="Q67" s="277"/>
      <c r="U67" s="277"/>
    </row>
    <row r="68" spans="1:27" x14ac:dyDescent="0.25">
      <c r="B68" s="144"/>
      <c r="C68" s="133"/>
      <c r="I68" s="276"/>
      <c r="J68" s="276"/>
      <c r="K68" s="276"/>
      <c r="L68" s="276"/>
      <c r="M68" s="276"/>
      <c r="N68" s="277"/>
      <c r="O68" s="277"/>
      <c r="P68" s="277"/>
      <c r="Q68" s="277"/>
      <c r="U68" s="277"/>
    </row>
    <row r="69" spans="1:27" x14ac:dyDescent="0.25">
      <c r="B69" s="144"/>
      <c r="C69" s="133"/>
      <c r="I69" s="276"/>
      <c r="J69" s="276"/>
      <c r="K69" s="276"/>
      <c r="L69" s="276"/>
      <c r="M69" s="276"/>
      <c r="N69" s="277"/>
      <c r="O69" s="277"/>
      <c r="P69" s="277"/>
      <c r="Q69" s="277"/>
      <c r="U69" s="277"/>
    </row>
    <row r="70" spans="1:27" x14ac:dyDescent="0.25">
      <c r="B70" s="144"/>
      <c r="C70" s="133"/>
      <c r="I70" s="276"/>
      <c r="J70" s="276"/>
      <c r="K70" s="276"/>
      <c r="L70" s="276"/>
      <c r="M70" s="276"/>
      <c r="N70" s="277"/>
      <c r="O70" s="277"/>
      <c r="P70" s="277"/>
      <c r="Q70" s="277"/>
      <c r="U70" s="277"/>
    </row>
    <row r="71" spans="1:27" x14ac:dyDescent="0.25">
      <c r="B71" s="144"/>
      <c r="C71" s="133"/>
      <c r="I71" s="276"/>
      <c r="J71" s="276"/>
      <c r="K71" s="276"/>
      <c r="L71" s="276"/>
      <c r="M71" s="276"/>
      <c r="N71" s="277"/>
      <c r="O71" s="277"/>
      <c r="P71" s="277"/>
      <c r="Q71" s="277"/>
      <c r="U71" s="277"/>
    </row>
    <row r="72" spans="1:27" x14ac:dyDescent="0.25">
      <c r="B72" s="144"/>
      <c r="C72" s="133"/>
      <c r="I72" s="276"/>
      <c r="J72" s="276"/>
      <c r="K72" s="276"/>
      <c r="L72" s="276"/>
      <c r="M72" s="276"/>
      <c r="N72" s="277"/>
      <c r="O72" s="277"/>
      <c r="P72" s="277"/>
      <c r="Q72" s="277"/>
    </row>
    <row r="73" spans="1:27" x14ac:dyDescent="0.25">
      <c r="B73" s="144"/>
      <c r="C73" s="133"/>
      <c r="I73" s="276"/>
      <c r="J73" s="276"/>
      <c r="K73" s="276"/>
      <c r="L73" s="276"/>
      <c r="M73" s="276"/>
      <c r="N73" s="277"/>
      <c r="O73" s="277"/>
      <c r="P73" s="277"/>
      <c r="Q73" s="277"/>
    </row>
    <row r="74" spans="1:27" x14ac:dyDescent="0.25">
      <c r="B74" s="144"/>
      <c r="C74" s="133"/>
      <c r="I74" s="276"/>
      <c r="J74" s="276"/>
      <c r="K74" s="276"/>
      <c r="L74" s="276"/>
      <c r="M74" s="276"/>
      <c r="N74" s="277"/>
      <c r="O74" s="277"/>
      <c r="P74" s="277"/>
      <c r="Q74" s="277"/>
    </row>
    <row r="75" spans="1:27" x14ac:dyDescent="0.25">
      <c r="B75" s="144"/>
      <c r="C75" s="133"/>
      <c r="I75" s="276"/>
      <c r="J75" s="276"/>
      <c r="K75" s="276"/>
      <c r="L75" s="276"/>
      <c r="M75" s="276"/>
      <c r="N75" s="277"/>
      <c r="O75" s="277"/>
      <c r="P75" s="277"/>
      <c r="Q75" s="277"/>
    </row>
    <row r="76" spans="1:27" x14ac:dyDescent="0.25">
      <c r="B76" s="144"/>
      <c r="C76" s="133"/>
      <c r="I76" s="276"/>
      <c r="J76" s="276"/>
      <c r="K76" s="276"/>
      <c r="L76" s="276"/>
      <c r="M76" s="276"/>
      <c r="N76" s="277"/>
      <c r="O76" s="277"/>
      <c r="P76" s="277"/>
      <c r="Q76" s="277"/>
    </row>
    <row r="77" spans="1:27" x14ac:dyDescent="0.25">
      <c r="B77" s="144"/>
      <c r="C77" s="133"/>
      <c r="I77" s="276"/>
      <c r="J77" s="276"/>
      <c r="K77" s="276"/>
      <c r="L77" s="276"/>
      <c r="M77" s="276"/>
      <c r="N77" s="277"/>
      <c r="O77" s="277"/>
      <c r="P77" s="277"/>
      <c r="Q77" s="277"/>
    </row>
    <row r="78" spans="1:27" x14ac:dyDescent="0.25">
      <c r="B78" s="144"/>
      <c r="C78" s="133"/>
      <c r="I78" s="276"/>
      <c r="J78" s="276"/>
      <c r="K78" s="276"/>
      <c r="L78" s="276"/>
      <c r="M78" s="276"/>
      <c r="N78" s="277"/>
      <c r="O78" s="277"/>
      <c r="P78" s="277"/>
      <c r="Q78" s="277"/>
    </row>
    <row r="79" spans="1:27" x14ac:dyDescent="0.25">
      <c r="B79" s="144"/>
      <c r="C79" s="133"/>
      <c r="I79" s="276"/>
      <c r="J79" s="276"/>
      <c r="K79" s="276"/>
      <c r="L79" s="276"/>
      <c r="M79" s="276"/>
      <c r="N79" s="277"/>
      <c r="O79" s="277"/>
      <c r="P79" s="277"/>
      <c r="Q79" s="277"/>
    </row>
    <row r="80" spans="1:27" s="278" customFormat="1" x14ac:dyDescent="0.25">
      <c r="A80" s="143"/>
      <c r="B80" s="144"/>
      <c r="C80" s="133"/>
      <c r="D80" s="133"/>
      <c r="E80" s="166"/>
      <c r="F80" s="275"/>
      <c r="G80" s="275"/>
      <c r="H80" s="275"/>
      <c r="I80" s="276"/>
      <c r="J80" s="276"/>
      <c r="K80" s="276"/>
      <c r="L80" s="276"/>
      <c r="M80" s="276"/>
      <c r="N80" s="277"/>
      <c r="O80" s="277"/>
      <c r="P80" s="277"/>
      <c r="Q80" s="277"/>
      <c r="S80" s="277"/>
      <c r="T80" s="277"/>
      <c r="V80" s="154"/>
      <c r="W80" s="154"/>
      <c r="X80" s="154"/>
      <c r="Y80" s="154"/>
      <c r="Z80" s="154"/>
      <c r="AA80" s="154"/>
    </row>
    <row r="81" spans="1:27" s="278" customFormat="1" x14ac:dyDescent="0.25">
      <c r="A81" s="143"/>
      <c r="B81" s="144"/>
      <c r="C81" s="133"/>
      <c r="D81" s="133"/>
      <c r="E81" s="166"/>
      <c r="F81" s="275"/>
      <c r="G81" s="275"/>
      <c r="H81" s="275"/>
      <c r="I81" s="276"/>
      <c r="J81" s="276"/>
      <c r="K81" s="276"/>
      <c r="L81" s="276"/>
      <c r="M81" s="276"/>
      <c r="N81" s="277"/>
      <c r="O81" s="277"/>
      <c r="P81" s="277"/>
      <c r="Q81" s="277"/>
      <c r="S81" s="277"/>
      <c r="T81" s="277"/>
      <c r="V81" s="154"/>
      <c r="W81" s="154"/>
      <c r="X81" s="154"/>
      <c r="Y81" s="154"/>
      <c r="Z81" s="154"/>
      <c r="AA81" s="154"/>
    </row>
    <row r="82" spans="1:27" s="278" customFormat="1" x14ac:dyDescent="0.25">
      <c r="A82" s="143"/>
      <c r="B82" s="144"/>
      <c r="C82" s="133"/>
      <c r="D82" s="133"/>
      <c r="E82" s="166"/>
      <c r="F82" s="275"/>
      <c r="G82" s="275"/>
      <c r="H82" s="275"/>
      <c r="I82" s="276"/>
      <c r="J82" s="276"/>
      <c r="K82" s="276"/>
      <c r="L82" s="276"/>
      <c r="M82" s="276"/>
      <c r="N82" s="277"/>
      <c r="O82" s="277"/>
      <c r="P82" s="277"/>
      <c r="Q82" s="277"/>
      <c r="S82" s="277"/>
      <c r="T82" s="277"/>
      <c r="V82" s="154"/>
      <c r="W82" s="154"/>
      <c r="X82" s="154"/>
      <c r="Y82" s="154"/>
      <c r="Z82" s="154"/>
      <c r="AA82" s="154"/>
    </row>
    <row r="83" spans="1:27" s="278" customFormat="1" x14ac:dyDescent="0.25">
      <c r="A83" s="143"/>
      <c r="B83" s="144"/>
      <c r="C83" s="133"/>
      <c r="D83" s="133"/>
      <c r="E83" s="166"/>
      <c r="F83" s="275"/>
      <c r="G83" s="275"/>
      <c r="H83" s="275"/>
      <c r="I83" s="276"/>
      <c r="J83" s="276"/>
      <c r="K83" s="276"/>
      <c r="L83" s="276"/>
      <c r="M83" s="276"/>
      <c r="N83" s="277"/>
      <c r="O83" s="277"/>
      <c r="P83" s="277"/>
      <c r="Q83" s="277"/>
      <c r="S83" s="277"/>
      <c r="T83" s="277"/>
      <c r="V83" s="154"/>
      <c r="W83" s="154"/>
      <c r="X83" s="154"/>
      <c r="Y83" s="154"/>
      <c r="Z83" s="154"/>
      <c r="AA83" s="154"/>
    </row>
    <row r="84" spans="1:27" s="278" customFormat="1" x14ac:dyDescent="0.25">
      <c r="A84" s="143"/>
      <c r="B84" s="144"/>
      <c r="C84" s="133"/>
      <c r="D84" s="133"/>
      <c r="E84" s="166"/>
      <c r="F84" s="275"/>
      <c r="G84" s="275"/>
      <c r="H84" s="275"/>
      <c r="I84" s="276"/>
      <c r="J84" s="276"/>
      <c r="K84" s="276"/>
      <c r="L84" s="276"/>
      <c r="M84" s="276"/>
      <c r="N84" s="277"/>
      <c r="O84" s="277"/>
      <c r="P84" s="277"/>
      <c r="Q84" s="277"/>
      <c r="S84" s="277"/>
      <c r="T84" s="277"/>
      <c r="V84" s="154"/>
      <c r="W84" s="154"/>
      <c r="X84" s="154"/>
      <c r="Y84" s="154"/>
      <c r="Z84" s="154"/>
      <c r="AA84" s="154"/>
    </row>
    <row r="85" spans="1:27" s="278" customFormat="1" x14ac:dyDescent="0.25">
      <c r="A85" s="143"/>
      <c r="B85" s="144"/>
      <c r="C85" s="133"/>
      <c r="D85" s="133"/>
      <c r="E85" s="166"/>
      <c r="F85" s="275"/>
      <c r="G85" s="275"/>
      <c r="H85" s="275"/>
      <c r="I85" s="276"/>
      <c r="J85" s="276"/>
      <c r="K85" s="276"/>
      <c r="L85" s="276"/>
      <c r="M85" s="276"/>
      <c r="N85" s="277"/>
      <c r="O85" s="277"/>
      <c r="P85" s="277"/>
      <c r="Q85" s="277"/>
      <c r="S85" s="277"/>
      <c r="T85" s="277"/>
      <c r="V85" s="154"/>
      <c r="W85" s="154"/>
      <c r="X85" s="154"/>
      <c r="Y85" s="154"/>
      <c r="Z85" s="154"/>
      <c r="AA85" s="154"/>
    </row>
    <row r="86" spans="1:27" s="278" customFormat="1" x14ac:dyDescent="0.25">
      <c r="A86" s="143"/>
      <c r="B86" s="144"/>
      <c r="C86" s="133"/>
      <c r="D86" s="133"/>
      <c r="E86" s="166"/>
      <c r="F86" s="275"/>
      <c r="G86" s="275"/>
      <c r="H86" s="275"/>
      <c r="I86" s="276"/>
      <c r="J86" s="276"/>
      <c r="K86" s="276"/>
      <c r="L86" s="276"/>
      <c r="M86" s="276"/>
      <c r="N86" s="277"/>
      <c r="O86" s="277"/>
      <c r="P86" s="277"/>
      <c r="Q86" s="277"/>
      <c r="S86" s="277"/>
      <c r="T86" s="277"/>
      <c r="V86" s="154"/>
      <c r="W86" s="154"/>
      <c r="X86" s="154"/>
      <c r="Y86" s="154"/>
      <c r="Z86" s="154"/>
      <c r="AA86" s="154"/>
    </row>
    <row r="87" spans="1:27" s="278" customFormat="1" x14ac:dyDescent="0.25">
      <c r="A87" s="143"/>
      <c r="B87" s="144"/>
      <c r="C87" s="133"/>
      <c r="D87" s="133"/>
      <c r="E87" s="166"/>
      <c r="F87" s="275"/>
      <c r="G87" s="275"/>
      <c r="H87" s="275"/>
      <c r="I87" s="276"/>
      <c r="J87" s="276"/>
      <c r="K87" s="276"/>
      <c r="L87" s="276"/>
      <c r="M87" s="276"/>
      <c r="N87" s="277"/>
      <c r="O87" s="277"/>
      <c r="P87" s="277"/>
      <c r="Q87" s="277"/>
      <c r="S87" s="277"/>
      <c r="T87" s="277"/>
      <c r="V87" s="154"/>
      <c r="W87" s="154"/>
      <c r="X87" s="154"/>
      <c r="Y87" s="154"/>
      <c r="Z87" s="154"/>
      <c r="AA87" s="154"/>
    </row>
    <row r="88" spans="1:27" s="278" customFormat="1" x14ac:dyDescent="0.25">
      <c r="A88" s="143"/>
      <c r="B88" s="144"/>
      <c r="C88" s="133"/>
      <c r="D88" s="133"/>
      <c r="E88" s="166"/>
      <c r="F88" s="275"/>
      <c r="G88" s="275"/>
      <c r="H88" s="275"/>
      <c r="I88" s="276"/>
      <c r="J88" s="276"/>
      <c r="K88" s="276"/>
      <c r="L88" s="276"/>
      <c r="M88" s="276"/>
      <c r="N88" s="277"/>
      <c r="O88" s="277"/>
      <c r="P88" s="277"/>
      <c r="Q88" s="277"/>
      <c r="S88" s="277"/>
      <c r="T88" s="277"/>
      <c r="V88" s="154"/>
      <c r="W88" s="154"/>
      <c r="X88" s="154"/>
      <c r="Y88" s="154"/>
      <c r="Z88" s="154"/>
      <c r="AA88" s="154"/>
    </row>
    <row r="89" spans="1:27" s="278" customFormat="1" x14ac:dyDescent="0.25">
      <c r="A89" s="143"/>
      <c r="B89" s="144"/>
      <c r="C89" s="133"/>
      <c r="D89" s="133"/>
      <c r="E89" s="166"/>
      <c r="F89" s="275"/>
      <c r="G89" s="275"/>
      <c r="H89" s="275"/>
      <c r="I89" s="276"/>
      <c r="J89" s="276"/>
      <c r="K89" s="276"/>
      <c r="L89" s="276"/>
      <c r="M89" s="276"/>
      <c r="N89" s="277"/>
      <c r="O89" s="277"/>
      <c r="P89" s="277"/>
      <c r="Q89" s="277"/>
      <c r="S89" s="277"/>
      <c r="T89" s="277"/>
      <c r="V89" s="154"/>
      <c r="W89" s="154"/>
      <c r="X89" s="154"/>
      <c r="Y89" s="154"/>
      <c r="Z89" s="154"/>
      <c r="AA89" s="154"/>
    </row>
    <row r="90" spans="1:27" s="278" customFormat="1" x14ac:dyDescent="0.25">
      <c r="A90" s="143"/>
      <c r="B90" s="144"/>
      <c r="C90" s="133"/>
      <c r="D90" s="133"/>
      <c r="E90" s="166"/>
      <c r="F90" s="275"/>
      <c r="G90" s="275"/>
      <c r="H90" s="275"/>
      <c r="I90" s="276"/>
      <c r="J90" s="276"/>
      <c r="K90" s="276"/>
      <c r="L90" s="276"/>
      <c r="M90" s="276"/>
      <c r="N90" s="277"/>
      <c r="O90" s="277"/>
      <c r="P90" s="277"/>
      <c r="Q90" s="277"/>
      <c r="S90" s="277"/>
      <c r="T90" s="277"/>
      <c r="V90" s="154"/>
      <c r="W90" s="154"/>
      <c r="X90" s="154"/>
      <c r="Y90" s="154"/>
      <c r="Z90" s="154"/>
      <c r="AA90" s="154"/>
    </row>
    <row r="91" spans="1:27" s="278" customFormat="1" x14ac:dyDescent="0.25">
      <c r="A91" s="143"/>
      <c r="B91" s="144"/>
      <c r="C91" s="133"/>
      <c r="D91" s="133"/>
      <c r="E91" s="166"/>
      <c r="F91" s="275"/>
      <c r="G91" s="275"/>
      <c r="H91" s="275"/>
      <c r="I91" s="276"/>
      <c r="J91" s="276"/>
      <c r="K91" s="276"/>
      <c r="L91" s="276"/>
      <c r="M91" s="276"/>
      <c r="N91" s="277"/>
      <c r="O91" s="277"/>
      <c r="P91" s="277"/>
      <c r="Q91" s="277"/>
      <c r="S91" s="277"/>
      <c r="T91" s="277"/>
      <c r="V91" s="154"/>
      <c r="W91" s="154"/>
      <c r="X91" s="154"/>
      <c r="Y91" s="154"/>
      <c r="Z91" s="154"/>
      <c r="AA91" s="154"/>
    </row>
    <row r="92" spans="1:27" s="278" customFormat="1" x14ac:dyDescent="0.25">
      <c r="A92" s="143"/>
      <c r="B92" s="144"/>
      <c r="C92" s="133"/>
      <c r="D92" s="133"/>
      <c r="E92" s="166"/>
      <c r="F92" s="275"/>
      <c r="G92" s="275"/>
      <c r="H92" s="275"/>
      <c r="I92" s="276"/>
      <c r="J92" s="276"/>
      <c r="K92" s="276"/>
      <c r="L92" s="276"/>
      <c r="M92" s="276"/>
      <c r="N92" s="277"/>
      <c r="O92" s="277"/>
      <c r="P92" s="277"/>
      <c r="Q92" s="277"/>
      <c r="S92" s="277"/>
      <c r="T92" s="277"/>
      <c r="V92" s="154"/>
      <c r="W92" s="154"/>
      <c r="X92" s="154"/>
      <c r="Y92" s="154"/>
      <c r="Z92" s="154"/>
      <c r="AA92" s="154"/>
    </row>
    <row r="93" spans="1:27" s="278" customFormat="1" x14ac:dyDescent="0.25">
      <c r="A93" s="143"/>
      <c r="B93" s="144"/>
      <c r="C93" s="133"/>
      <c r="D93" s="133"/>
      <c r="E93" s="166"/>
      <c r="F93" s="275"/>
      <c r="G93" s="275"/>
      <c r="H93" s="275"/>
      <c r="I93" s="276"/>
      <c r="J93" s="276"/>
      <c r="K93" s="276"/>
      <c r="L93" s="276"/>
      <c r="M93" s="276"/>
      <c r="N93" s="277"/>
      <c r="O93" s="277"/>
      <c r="P93" s="277"/>
      <c r="Q93" s="277"/>
      <c r="S93" s="277"/>
      <c r="T93" s="277"/>
      <c r="V93" s="154"/>
      <c r="W93" s="154"/>
      <c r="X93" s="154"/>
      <c r="Y93" s="154"/>
      <c r="Z93" s="154"/>
      <c r="AA93" s="154"/>
    </row>
    <row r="94" spans="1:27" s="278" customFormat="1" x14ac:dyDescent="0.25">
      <c r="A94" s="143"/>
      <c r="B94" s="144"/>
      <c r="C94" s="133"/>
      <c r="D94" s="133"/>
      <c r="E94" s="166"/>
      <c r="F94" s="275"/>
      <c r="G94" s="275"/>
      <c r="H94" s="275"/>
      <c r="I94" s="276"/>
      <c r="J94" s="276"/>
      <c r="K94" s="276"/>
      <c r="L94" s="276"/>
      <c r="M94" s="276"/>
      <c r="N94" s="277"/>
      <c r="O94" s="277"/>
      <c r="P94" s="277"/>
      <c r="Q94" s="277"/>
      <c r="S94" s="277"/>
      <c r="T94" s="277"/>
      <c r="V94" s="154"/>
      <c r="W94" s="154"/>
      <c r="X94" s="154"/>
      <c r="Y94" s="154"/>
      <c r="Z94" s="154"/>
      <c r="AA94" s="154"/>
    </row>
    <row r="95" spans="1:27" s="278" customFormat="1" x14ac:dyDescent="0.25">
      <c r="A95" s="143"/>
      <c r="B95" s="144"/>
      <c r="C95" s="133"/>
      <c r="D95" s="133"/>
      <c r="E95" s="166"/>
      <c r="F95" s="275"/>
      <c r="G95" s="275"/>
      <c r="H95" s="275"/>
      <c r="I95" s="276"/>
      <c r="J95" s="276"/>
      <c r="K95" s="276"/>
      <c r="L95" s="276"/>
      <c r="M95" s="276"/>
      <c r="N95" s="277"/>
      <c r="O95" s="277"/>
      <c r="P95" s="277"/>
      <c r="Q95" s="277"/>
      <c r="S95" s="277"/>
      <c r="T95" s="277"/>
      <c r="V95" s="154"/>
      <c r="W95" s="154"/>
      <c r="X95" s="154"/>
      <c r="Y95" s="154"/>
      <c r="Z95" s="154"/>
      <c r="AA95" s="154"/>
    </row>
    <row r="96" spans="1:27" s="278" customFormat="1" x14ac:dyDescent="0.25">
      <c r="A96" s="143"/>
      <c r="B96" s="144"/>
      <c r="C96" s="133"/>
      <c r="D96" s="133"/>
      <c r="E96" s="166"/>
      <c r="F96" s="275"/>
      <c r="G96" s="275"/>
      <c r="H96" s="275"/>
      <c r="I96" s="276"/>
      <c r="J96" s="276"/>
      <c r="K96" s="276"/>
      <c r="L96" s="276"/>
      <c r="M96" s="276"/>
      <c r="N96" s="277"/>
      <c r="O96" s="277"/>
      <c r="P96" s="277"/>
      <c r="Q96" s="277"/>
      <c r="S96" s="277"/>
      <c r="T96" s="277"/>
      <c r="V96" s="154"/>
      <c r="W96" s="154"/>
      <c r="X96" s="154"/>
      <c r="Y96" s="154"/>
      <c r="Z96" s="154"/>
      <c r="AA96" s="154"/>
    </row>
    <row r="97" spans="1:27" s="278" customFormat="1" x14ac:dyDescent="0.25">
      <c r="A97" s="143"/>
      <c r="B97" s="144"/>
      <c r="C97" s="133"/>
      <c r="D97" s="133"/>
      <c r="E97" s="166"/>
      <c r="F97" s="275"/>
      <c r="G97" s="275"/>
      <c r="H97" s="275"/>
      <c r="I97" s="276"/>
      <c r="J97" s="276"/>
      <c r="K97" s="276"/>
      <c r="L97" s="276"/>
      <c r="M97" s="276"/>
      <c r="N97" s="277"/>
      <c r="O97" s="277"/>
      <c r="P97" s="277"/>
      <c r="Q97" s="277"/>
      <c r="S97" s="277"/>
      <c r="T97" s="277"/>
      <c r="V97" s="154"/>
      <c r="W97" s="154"/>
      <c r="X97" s="154"/>
      <c r="Y97" s="154"/>
      <c r="Z97" s="154"/>
      <c r="AA97" s="154"/>
    </row>
    <row r="98" spans="1:27" s="278" customFormat="1" x14ac:dyDescent="0.25">
      <c r="A98" s="143"/>
      <c r="B98" s="144"/>
      <c r="C98" s="133"/>
      <c r="D98" s="133"/>
      <c r="E98" s="166"/>
      <c r="F98" s="275"/>
      <c r="G98" s="275"/>
      <c r="H98" s="275"/>
      <c r="I98" s="276"/>
      <c r="J98" s="276"/>
      <c r="K98" s="276"/>
      <c r="L98" s="276"/>
      <c r="M98" s="276"/>
      <c r="N98" s="277"/>
      <c r="O98" s="277"/>
      <c r="P98" s="277"/>
      <c r="Q98" s="277"/>
      <c r="S98" s="277"/>
      <c r="T98" s="277"/>
      <c r="V98" s="154"/>
      <c r="W98" s="154"/>
      <c r="X98" s="154"/>
      <c r="Y98" s="154"/>
      <c r="Z98" s="154"/>
      <c r="AA98" s="154"/>
    </row>
    <row r="99" spans="1:27" s="278" customFormat="1" x14ac:dyDescent="0.25">
      <c r="A99" s="143"/>
      <c r="B99" s="144"/>
      <c r="C99" s="133"/>
      <c r="D99" s="133"/>
      <c r="E99" s="166"/>
      <c r="F99" s="275"/>
      <c r="G99" s="275"/>
      <c r="H99" s="275"/>
      <c r="I99" s="276"/>
      <c r="J99" s="276"/>
      <c r="K99" s="276"/>
      <c r="L99" s="276"/>
      <c r="M99" s="276"/>
      <c r="N99" s="277"/>
      <c r="O99" s="277"/>
      <c r="P99" s="277"/>
      <c r="Q99" s="277"/>
      <c r="S99" s="277"/>
      <c r="T99" s="277"/>
      <c r="V99" s="154"/>
      <c r="W99" s="154"/>
      <c r="X99" s="154"/>
      <c r="Y99" s="154"/>
      <c r="Z99" s="154"/>
      <c r="AA99" s="154"/>
    </row>
    <row r="100" spans="1:27" s="278" customFormat="1" x14ac:dyDescent="0.25">
      <c r="A100" s="143"/>
      <c r="B100" s="144"/>
      <c r="C100" s="133"/>
      <c r="D100" s="133"/>
      <c r="E100" s="166"/>
      <c r="F100" s="275"/>
      <c r="G100" s="275"/>
      <c r="H100" s="275"/>
      <c r="I100" s="276"/>
      <c r="J100" s="276"/>
      <c r="K100" s="276"/>
      <c r="L100" s="276"/>
      <c r="M100" s="276"/>
      <c r="N100" s="277"/>
      <c r="O100" s="277"/>
      <c r="P100" s="277"/>
      <c r="Q100" s="277"/>
      <c r="S100" s="277"/>
      <c r="T100" s="277"/>
      <c r="V100" s="154"/>
      <c r="W100" s="154"/>
      <c r="X100" s="154"/>
      <c r="Y100" s="154"/>
      <c r="Z100" s="154"/>
      <c r="AA100" s="154"/>
    </row>
    <row r="101" spans="1:27" s="278" customFormat="1" x14ac:dyDescent="0.25">
      <c r="A101" s="143"/>
      <c r="B101" s="144"/>
      <c r="C101" s="133"/>
      <c r="D101" s="133"/>
      <c r="E101" s="166"/>
      <c r="F101" s="275"/>
      <c r="G101" s="275"/>
      <c r="H101" s="275"/>
      <c r="I101" s="276"/>
      <c r="J101" s="276"/>
      <c r="K101" s="276"/>
      <c r="L101" s="276"/>
      <c r="M101" s="276"/>
      <c r="N101" s="277"/>
      <c r="O101" s="277"/>
      <c r="P101" s="277"/>
      <c r="Q101" s="277"/>
      <c r="S101" s="277"/>
      <c r="T101" s="277"/>
      <c r="V101" s="154"/>
      <c r="W101" s="154"/>
      <c r="X101" s="154"/>
      <c r="Y101" s="154"/>
      <c r="Z101" s="154"/>
      <c r="AA101" s="154"/>
    </row>
    <row r="102" spans="1:27" s="278" customFormat="1" x14ac:dyDescent="0.25">
      <c r="A102" s="143"/>
      <c r="B102" s="144"/>
      <c r="C102" s="133"/>
      <c r="D102" s="133"/>
      <c r="E102" s="166"/>
      <c r="F102" s="275"/>
      <c r="G102" s="275"/>
      <c r="H102" s="275"/>
      <c r="I102" s="276"/>
      <c r="J102" s="276"/>
      <c r="K102" s="276"/>
      <c r="L102" s="276"/>
      <c r="M102" s="276"/>
      <c r="N102" s="277"/>
      <c r="O102" s="277"/>
      <c r="P102" s="277"/>
      <c r="Q102" s="277"/>
      <c r="S102" s="277"/>
      <c r="T102" s="277"/>
      <c r="V102" s="154"/>
      <c r="W102" s="154"/>
      <c r="X102" s="154"/>
      <c r="Y102" s="154"/>
      <c r="Z102" s="154"/>
      <c r="AA102" s="154"/>
    </row>
    <row r="103" spans="1:27" s="278" customFormat="1" x14ac:dyDescent="0.25">
      <c r="A103" s="143"/>
      <c r="B103" s="144"/>
      <c r="C103" s="133"/>
      <c r="D103" s="133"/>
      <c r="E103" s="166"/>
      <c r="F103" s="275"/>
      <c r="G103" s="275"/>
      <c r="H103" s="275"/>
      <c r="I103" s="276"/>
      <c r="J103" s="276"/>
      <c r="K103" s="276"/>
      <c r="L103" s="276"/>
      <c r="M103" s="276"/>
      <c r="N103" s="277"/>
      <c r="O103" s="277"/>
      <c r="P103" s="277"/>
      <c r="Q103" s="277"/>
      <c r="S103" s="277"/>
      <c r="T103" s="277"/>
      <c r="V103" s="154"/>
      <c r="W103" s="154"/>
      <c r="X103" s="154"/>
      <c r="Y103" s="154"/>
      <c r="Z103" s="154"/>
      <c r="AA103" s="154"/>
    </row>
    <row r="104" spans="1:27" s="278" customFormat="1" x14ac:dyDescent="0.25">
      <c r="A104" s="143"/>
      <c r="B104" s="144"/>
      <c r="C104" s="133"/>
      <c r="D104" s="133"/>
      <c r="E104" s="166"/>
      <c r="F104" s="275"/>
      <c r="G104" s="275"/>
      <c r="H104" s="275"/>
      <c r="I104" s="276"/>
      <c r="J104" s="276"/>
      <c r="K104" s="276"/>
      <c r="L104" s="276"/>
      <c r="M104" s="276"/>
      <c r="N104" s="277"/>
      <c r="O104" s="277"/>
      <c r="P104" s="277"/>
      <c r="Q104" s="277"/>
      <c r="S104" s="277"/>
      <c r="T104" s="277"/>
      <c r="V104" s="154"/>
      <c r="W104" s="154"/>
      <c r="X104" s="154"/>
      <c r="Y104" s="154"/>
      <c r="Z104" s="154"/>
      <c r="AA104" s="154"/>
    </row>
    <row r="105" spans="1:27" s="278" customFormat="1" x14ac:dyDescent="0.25">
      <c r="A105" s="143"/>
      <c r="B105" s="144"/>
      <c r="C105" s="133"/>
      <c r="D105" s="133"/>
      <c r="E105" s="166"/>
      <c r="F105" s="275"/>
      <c r="G105" s="275"/>
      <c r="H105" s="275"/>
      <c r="I105" s="276"/>
      <c r="J105" s="276"/>
      <c r="K105" s="276"/>
      <c r="L105" s="276"/>
      <c r="M105" s="276"/>
      <c r="N105" s="277"/>
      <c r="O105" s="277"/>
      <c r="P105" s="277"/>
      <c r="Q105" s="277"/>
      <c r="S105" s="277"/>
      <c r="T105" s="277"/>
      <c r="V105" s="154"/>
      <c r="W105" s="154"/>
      <c r="X105" s="154"/>
      <c r="Y105" s="154"/>
      <c r="Z105" s="154"/>
      <c r="AA105" s="154"/>
    </row>
    <row r="106" spans="1:27" s="278" customFormat="1" x14ac:dyDescent="0.25">
      <c r="A106" s="143"/>
      <c r="B106" s="144"/>
      <c r="C106" s="133"/>
      <c r="D106" s="133"/>
      <c r="E106" s="166"/>
      <c r="F106" s="275"/>
      <c r="G106" s="275"/>
      <c r="H106" s="275"/>
      <c r="I106" s="276"/>
      <c r="J106" s="276"/>
      <c r="K106" s="276"/>
      <c r="L106" s="276"/>
      <c r="M106" s="276"/>
      <c r="N106" s="277"/>
      <c r="O106" s="277"/>
      <c r="P106" s="277"/>
      <c r="Q106" s="277"/>
      <c r="S106" s="277"/>
      <c r="T106" s="277"/>
      <c r="V106" s="154"/>
      <c r="W106" s="154"/>
      <c r="X106" s="154"/>
      <c r="Y106" s="154"/>
      <c r="Z106" s="154"/>
      <c r="AA106" s="154"/>
    </row>
    <row r="107" spans="1:27" s="278" customFormat="1" x14ac:dyDescent="0.25">
      <c r="A107" s="143"/>
      <c r="B107" s="144"/>
      <c r="C107" s="133"/>
      <c r="D107" s="133"/>
      <c r="E107" s="166"/>
      <c r="F107" s="275"/>
      <c r="G107" s="275"/>
      <c r="H107" s="275"/>
      <c r="I107" s="276"/>
      <c r="J107" s="276"/>
      <c r="K107" s="276"/>
      <c r="L107" s="276"/>
      <c r="M107" s="276"/>
      <c r="N107" s="277"/>
      <c r="O107" s="277"/>
      <c r="P107" s="277"/>
      <c r="Q107" s="277"/>
      <c r="S107" s="277"/>
      <c r="T107" s="277"/>
      <c r="V107" s="154"/>
      <c r="W107" s="154"/>
      <c r="X107" s="154"/>
      <c r="Y107" s="154"/>
      <c r="Z107" s="154"/>
      <c r="AA107" s="154"/>
    </row>
    <row r="108" spans="1:27" s="278" customFormat="1" x14ac:dyDescent="0.25">
      <c r="A108" s="143"/>
      <c r="B108" s="144"/>
      <c r="C108" s="133"/>
      <c r="D108" s="133"/>
      <c r="E108" s="166"/>
      <c r="F108" s="275"/>
      <c r="G108" s="275"/>
      <c r="H108" s="275"/>
      <c r="I108" s="276"/>
      <c r="J108" s="276"/>
      <c r="K108" s="276"/>
      <c r="L108" s="276"/>
      <c r="M108" s="276"/>
      <c r="N108" s="277"/>
      <c r="O108" s="277"/>
      <c r="P108" s="277"/>
      <c r="Q108" s="277"/>
      <c r="S108" s="277"/>
      <c r="T108" s="277"/>
      <c r="V108" s="154"/>
      <c r="W108" s="154"/>
      <c r="X108" s="154"/>
      <c r="Y108" s="154"/>
      <c r="Z108" s="154"/>
      <c r="AA108" s="154"/>
    </row>
    <row r="109" spans="1:27" s="278" customFormat="1" x14ac:dyDescent="0.25">
      <c r="A109" s="143"/>
      <c r="B109" s="144"/>
      <c r="C109" s="133"/>
      <c r="D109" s="133"/>
      <c r="E109" s="166"/>
      <c r="F109" s="275"/>
      <c r="G109" s="275"/>
      <c r="H109" s="275"/>
      <c r="I109" s="276"/>
      <c r="J109" s="276"/>
      <c r="K109" s="276"/>
      <c r="L109" s="276"/>
      <c r="M109" s="276"/>
      <c r="N109" s="277"/>
      <c r="O109" s="277"/>
      <c r="P109" s="277"/>
      <c r="Q109" s="277"/>
      <c r="S109" s="277"/>
      <c r="T109" s="277"/>
      <c r="V109" s="154"/>
      <c r="W109" s="154"/>
      <c r="X109" s="154"/>
      <c r="Y109" s="154"/>
      <c r="Z109" s="154"/>
      <c r="AA109" s="154"/>
    </row>
    <row r="110" spans="1:27" s="278" customFormat="1" x14ac:dyDescent="0.25">
      <c r="A110" s="143"/>
      <c r="B110" s="144"/>
      <c r="C110" s="133"/>
      <c r="D110" s="133"/>
      <c r="E110" s="166"/>
      <c r="F110" s="275"/>
      <c r="G110" s="275"/>
      <c r="H110" s="275"/>
      <c r="I110" s="276"/>
      <c r="J110" s="276"/>
      <c r="K110" s="276"/>
      <c r="L110" s="276"/>
      <c r="M110" s="276"/>
      <c r="N110" s="277"/>
      <c r="O110" s="277"/>
      <c r="P110" s="277"/>
      <c r="Q110" s="277"/>
      <c r="S110" s="277"/>
      <c r="T110" s="277"/>
      <c r="V110" s="154"/>
      <c r="W110" s="154"/>
      <c r="X110" s="154"/>
      <c r="Y110" s="154"/>
      <c r="Z110" s="154"/>
      <c r="AA110" s="154"/>
    </row>
    <row r="111" spans="1:27" s="278" customFormat="1" x14ac:dyDescent="0.25">
      <c r="A111" s="143"/>
      <c r="B111" s="144"/>
      <c r="C111" s="133"/>
      <c r="D111" s="133"/>
      <c r="E111" s="166"/>
      <c r="F111" s="275"/>
      <c r="G111" s="275"/>
      <c r="H111" s="275"/>
      <c r="I111" s="276"/>
      <c r="J111" s="276"/>
      <c r="K111" s="276"/>
      <c r="L111" s="276"/>
      <c r="M111" s="276"/>
      <c r="N111" s="277"/>
      <c r="O111" s="277"/>
      <c r="P111" s="277"/>
      <c r="Q111" s="277"/>
      <c r="S111" s="277"/>
      <c r="T111" s="277"/>
      <c r="V111" s="154"/>
      <c r="W111" s="154"/>
      <c r="X111" s="154"/>
      <c r="Y111" s="154"/>
      <c r="Z111" s="154"/>
      <c r="AA111" s="154"/>
    </row>
    <row r="112" spans="1:27" s="278" customFormat="1" x14ac:dyDescent="0.25">
      <c r="A112" s="143"/>
      <c r="B112" s="144"/>
      <c r="C112" s="133"/>
      <c r="D112" s="133"/>
      <c r="E112" s="166"/>
      <c r="F112" s="275"/>
      <c r="G112" s="275"/>
      <c r="H112" s="275"/>
      <c r="I112" s="276"/>
      <c r="J112" s="276"/>
      <c r="K112" s="276"/>
      <c r="L112" s="276"/>
      <c r="M112" s="276"/>
      <c r="N112" s="277"/>
      <c r="O112" s="277"/>
      <c r="P112" s="277"/>
      <c r="Q112" s="277"/>
      <c r="S112" s="277"/>
      <c r="T112" s="277"/>
      <c r="V112" s="154"/>
      <c r="W112" s="154"/>
      <c r="X112" s="154"/>
      <c r="Y112" s="154"/>
      <c r="Z112" s="154"/>
      <c r="AA112" s="154"/>
    </row>
    <row r="113" spans="1:27" s="278" customFormat="1" x14ac:dyDescent="0.25">
      <c r="A113" s="143"/>
      <c r="B113" s="144"/>
      <c r="C113" s="133"/>
      <c r="D113" s="133"/>
      <c r="E113" s="166"/>
      <c r="F113" s="275"/>
      <c r="G113" s="275"/>
      <c r="H113" s="275"/>
      <c r="I113" s="276"/>
      <c r="J113" s="276"/>
      <c r="K113" s="276"/>
      <c r="L113" s="276"/>
      <c r="M113" s="276"/>
      <c r="N113" s="277"/>
      <c r="O113" s="277"/>
      <c r="P113" s="277"/>
      <c r="Q113" s="277"/>
      <c r="S113" s="277"/>
      <c r="T113" s="277"/>
      <c r="V113" s="154"/>
      <c r="W113" s="154"/>
      <c r="X113" s="154"/>
      <c r="Y113" s="154"/>
      <c r="Z113" s="154"/>
      <c r="AA113" s="154"/>
    </row>
    <row r="114" spans="1:27" s="278" customFormat="1" x14ac:dyDescent="0.25">
      <c r="A114" s="143"/>
      <c r="B114" s="144"/>
      <c r="C114" s="133"/>
      <c r="D114" s="133"/>
      <c r="E114" s="166"/>
      <c r="F114" s="275"/>
      <c r="G114" s="275"/>
      <c r="H114" s="275"/>
      <c r="I114" s="276"/>
      <c r="J114" s="276"/>
      <c r="K114" s="276"/>
      <c r="L114" s="276"/>
      <c r="M114" s="276"/>
      <c r="N114" s="277"/>
      <c r="O114" s="277"/>
      <c r="P114" s="277"/>
      <c r="Q114" s="277"/>
      <c r="S114" s="277"/>
      <c r="T114" s="277"/>
      <c r="V114" s="154"/>
      <c r="W114" s="154"/>
      <c r="X114" s="154"/>
      <c r="Y114" s="154"/>
      <c r="Z114" s="154"/>
      <c r="AA114" s="154"/>
    </row>
    <row r="115" spans="1:27" s="278" customFormat="1" x14ac:dyDescent="0.25">
      <c r="A115" s="143"/>
      <c r="B115" s="144"/>
      <c r="C115" s="133"/>
      <c r="D115" s="133"/>
      <c r="E115" s="166"/>
      <c r="F115" s="275"/>
      <c r="G115" s="275"/>
      <c r="H115" s="275"/>
      <c r="I115" s="276"/>
      <c r="J115" s="276"/>
      <c r="K115" s="276"/>
      <c r="L115" s="276"/>
      <c r="M115" s="276"/>
      <c r="N115" s="277"/>
      <c r="O115" s="277"/>
      <c r="P115" s="277"/>
      <c r="Q115" s="277"/>
      <c r="S115" s="277"/>
      <c r="T115" s="277"/>
      <c r="V115" s="154"/>
      <c r="W115" s="154"/>
      <c r="X115" s="154"/>
      <c r="Y115" s="154"/>
      <c r="Z115" s="154"/>
      <c r="AA115" s="154"/>
    </row>
    <row r="116" spans="1:27" s="278" customFormat="1" x14ac:dyDescent="0.25">
      <c r="A116" s="143"/>
      <c r="B116" s="144"/>
      <c r="C116" s="133"/>
      <c r="D116" s="133"/>
      <c r="E116" s="166"/>
      <c r="F116" s="275"/>
      <c r="G116" s="275"/>
      <c r="H116" s="275"/>
      <c r="I116" s="276"/>
      <c r="J116" s="276"/>
      <c r="K116" s="276"/>
      <c r="L116" s="276"/>
      <c r="M116" s="276"/>
      <c r="N116" s="277"/>
      <c r="O116" s="277"/>
      <c r="P116" s="277"/>
      <c r="Q116" s="277"/>
      <c r="S116" s="277"/>
      <c r="T116" s="277"/>
      <c r="V116" s="154"/>
      <c r="W116" s="154"/>
      <c r="X116" s="154"/>
      <c r="Y116" s="154"/>
      <c r="Z116" s="154"/>
      <c r="AA116" s="154"/>
    </row>
    <row r="117" spans="1:27" s="278" customFormat="1" x14ac:dyDescent="0.25">
      <c r="A117" s="143"/>
      <c r="B117" s="144"/>
      <c r="C117" s="133"/>
      <c r="D117" s="133"/>
      <c r="E117" s="166"/>
      <c r="F117" s="275"/>
      <c r="G117" s="275"/>
      <c r="H117" s="275"/>
      <c r="I117" s="276"/>
      <c r="J117" s="276"/>
      <c r="K117" s="276"/>
      <c r="L117" s="276"/>
      <c r="M117" s="276"/>
      <c r="N117" s="277"/>
      <c r="O117" s="277"/>
      <c r="P117" s="277"/>
      <c r="Q117" s="277"/>
      <c r="S117" s="277"/>
      <c r="T117" s="277"/>
      <c r="V117" s="154"/>
      <c r="W117" s="154"/>
      <c r="X117" s="154"/>
      <c r="Y117" s="154"/>
      <c r="Z117" s="154"/>
      <c r="AA117" s="154"/>
    </row>
    <row r="118" spans="1:27" s="278" customFormat="1" x14ac:dyDescent="0.25">
      <c r="A118" s="143"/>
      <c r="B118" s="144"/>
      <c r="C118" s="133"/>
      <c r="D118" s="133"/>
      <c r="E118" s="166"/>
      <c r="F118" s="275"/>
      <c r="G118" s="275"/>
      <c r="H118" s="275"/>
      <c r="I118" s="276"/>
      <c r="J118" s="276"/>
      <c r="K118" s="276"/>
      <c r="L118" s="276"/>
      <c r="M118" s="276"/>
      <c r="N118" s="277"/>
      <c r="O118" s="277"/>
      <c r="P118" s="277"/>
      <c r="Q118" s="277"/>
      <c r="S118" s="277"/>
      <c r="T118" s="277"/>
      <c r="V118" s="154"/>
      <c r="W118" s="154"/>
      <c r="X118" s="154"/>
      <c r="Y118" s="154"/>
      <c r="Z118" s="154"/>
      <c r="AA118" s="154"/>
    </row>
    <row r="119" spans="1:27" s="278" customFormat="1" x14ac:dyDescent="0.25">
      <c r="A119" s="143"/>
      <c r="B119" s="144"/>
      <c r="C119" s="133"/>
      <c r="D119" s="133"/>
      <c r="E119" s="166"/>
      <c r="F119" s="275"/>
      <c r="G119" s="275"/>
      <c r="H119" s="275"/>
      <c r="I119" s="276"/>
      <c r="J119" s="276"/>
      <c r="K119" s="276"/>
      <c r="L119" s="276"/>
      <c r="M119" s="276"/>
      <c r="N119" s="277"/>
      <c r="O119" s="277"/>
      <c r="P119" s="277"/>
      <c r="Q119" s="277"/>
      <c r="S119" s="277"/>
      <c r="T119" s="277"/>
      <c r="V119" s="154"/>
      <c r="W119" s="154"/>
      <c r="X119" s="154"/>
      <c r="Y119" s="154"/>
      <c r="Z119" s="154"/>
      <c r="AA119" s="154"/>
    </row>
    <row r="120" spans="1:27" s="278" customFormat="1" x14ac:dyDescent="0.25">
      <c r="A120" s="143"/>
      <c r="B120" s="144"/>
      <c r="C120" s="133"/>
      <c r="D120" s="133"/>
      <c r="E120" s="166"/>
      <c r="F120" s="275"/>
      <c r="G120" s="275"/>
      <c r="H120" s="275"/>
      <c r="I120" s="276"/>
      <c r="J120" s="276"/>
      <c r="K120" s="276"/>
      <c r="L120" s="276"/>
      <c r="M120" s="276"/>
      <c r="N120" s="277"/>
      <c r="O120" s="277"/>
      <c r="P120" s="277"/>
      <c r="Q120" s="277"/>
      <c r="S120" s="277"/>
      <c r="T120" s="277"/>
      <c r="V120" s="154"/>
      <c r="W120" s="154"/>
      <c r="X120" s="154"/>
      <c r="Y120" s="154"/>
      <c r="Z120" s="154"/>
      <c r="AA120" s="154"/>
    </row>
    <row r="121" spans="1:27" s="278" customFormat="1" x14ac:dyDescent="0.25">
      <c r="A121" s="143"/>
      <c r="B121" s="144"/>
      <c r="C121" s="133"/>
      <c r="D121" s="133"/>
      <c r="E121" s="166"/>
      <c r="F121" s="275"/>
      <c r="G121" s="275"/>
      <c r="H121" s="275"/>
      <c r="I121" s="276"/>
      <c r="J121" s="276"/>
      <c r="K121" s="276"/>
      <c r="L121" s="276"/>
      <c r="M121" s="276"/>
      <c r="N121" s="277"/>
      <c r="O121" s="277"/>
      <c r="P121" s="277"/>
      <c r="Q121" s="277"/>
      <c r="S121" s="277"/>
      <c r="T121" s="277"/>
      <c r="V121" s="154"/>
      <c r="W121" s="154"/>
      <c r="X121" s="154"/>
      <c r="Y121" s="154"/>
      <c r="Z121" s="154"/>
      <c r="AA121" s="154"/>
    </row>
    <row r="122" spans="1:27" s="278" customFormat="1" x14ac:dyDescent="0.25">
      <c r="A122" s="143"/>
      <c r="B122" s="144"/>
      <c r="C122" s="133"/>
      <c r="D122" s="133"/>
      <c r="E122" s="166"/>
      <c r="F122" s="275"/>
      <c r="G122" s="275"/>
      <c r="H122" s="275"/>
      <c r="I122" s="276"/>
      <c r="J122" s="276"/>
      <c r="K122" s="276"/>
      <c r="L122" s="276"/>
      <c r="M122" s="276"/>
      <c r="N122" s="277"/>
      <c r="O122" s="277"/>
      <c r="P122" s="277"/>
      <c r="Q122" s="277"/>
      <c r="S122" s="277"/>
      <c r="T122" s="277"/>
      <c r="V122" s="154"/>
      <c r="W122" s="154"/>
      <c r="X122" s="154"/>
      <c r="Y122" s="154"/>
      <c r="Z122" s="154"/>
      <c r="AA122" s="154"/>
    </row>
    <row r="123" spans="1:27" s="278" customFormat="1" x14ac:dyDescent="0.25">
      <c r="A123" s="143"/>
      <c r="B123" s="144"/>
      <c r="C123" s="133"/>
      <c r="D123" s="133"/>
      <c r="E123" s="166"/>
      <c r="F123" s="275"/>
      <c r="G123" s="275"/>
      <c r="H123" s="275"/>
      <c r="I123" s="276"/>
      <c r="J123" s="276"/>
      <c r="K123" s="276"/>
      <c r="L123" s="276"/>
      <c r="M123" s="276"/>
      <c r="N123" s="277"/>
      <c r="O123" s="277"/>
      <c r="P123" s="277"/>
      <c r="Q123" s="277"/>
      <c r="S123" s="277"/>
      <c r="T123" s="277"/>
      <c r="V123" s="154"/>
      <c r="W123" s="154"/>
      <c r="X123" s="154"/>
      <c r="Y123" s="154"/>
      <c r="Z123" s="154"/>
      <c r="AA123" s="154"/>
    </row>
    <row r="124" spans="1:27" s="278" customFormat="1" x14ac:dyDescent="0.25">
      <c r="A124" s="143"/>
      <c r="B124" s="144"/>
      <c r="C124" s="133"/>
      <c r="D124" s="133"/>
      <c r="E124" s="166"/>
      <c r="F124" s="275"/>
      <c r="G124" s="275"/>
      <c r="H124" s="275"/>
      <c r="I124" s="276"/>
      <c r="J124" s="276"/>
      <c r="K124" s="276"/>
      <c r="L124" s="276"/>
      <c r="M124" s="276"/>
      <c r="N124" s="277"/>
      <c r="O124" s="277"/>
      <c r="P124" s="277"/>
      <c r="Q124" s="277"/>
      <c r="S124" s="277"/>
      <c r="T124" s="277"/>
      <c r="V124" s="154"/>
      <c r="W124" s="154"/>
      <c r="X124" s="154"/>
      <c r="Y124" s="154"/>
      <c r="Z124" s="154"/>
      <c r="AA124" s="154"/>
    </row>
    <row r="125" spans="1:27" s="278" customFormat="1" x14ac:dyDescent="0.25">
      <c r="A125" s="143"/>
      <c r="B125" s="144"/>
      <c r="C125" s="133"/>
      <c r="D125" s="133"/>
      <c r="E125" s="166"/>
      <c r="F125" s="275"/>
      <c r="G125" s="275"/>
      <c r="H125" s="275"/>
      <c r="I125" s="276"/>
      <c r="J125" s="276"/>
      <c r="K125" s="276"/>
      <c r="L125" s="276"/>
      <c r="M125" s="276"/>
      <c r="N125" s="277"/>
      <c r="O125" s="277"/>
      <c r="P125" s="277"/>
      <c r="Q125" s="277"/>
      <c r="S125" s="277"/>
      <c r="T125" s="277"/>
      <c r="V125" s="154"/>
      <c r="W125" s="154"/>
      <c r="X125" s="154"/>
      <c r="Y125" s="154"/>
      <c r="Z125" s="154"/>
      <c r="AA125" s="154"/>
    </row>
    <row r="126" spans="1:27" s="278" customFormat="1" x14ac:dyDescent="0.25">
      <c r="A126" s="143"/>
      <c r="B126" s="144"/>
      <c r="C126" s="133"/>
      <c r="D126" s="133"/>
      <c r="E126" s="166"/>
      <c r="F126" s="275"/>
      <c r="G126" s="275"/>
      <c r="H126" s="275"/>
      <c r="I126" s="276"/>
      <c r="J126" s="276"/>
      <c r="K126" s="276"/>
      <c r="L126" s="276"/>
      <c r="M126" s="276"/>
      <c r="N126" s="277"/>
      <c r="O126" s="277"/>
      <c r="P126" s="277"/>
      <c r="Q126" s="277"/>
      <c r="S126" s="277"/>
      <c r="T126" s="277"/>
      <c r="V126" s="154"/>
      <c r="W126" s="154"/>
      <c r="X126" s="154"/>
      <c r="Y126" s="154"/>
      <c r="Z126" s="154"/>
      <c r="AA126" s="154"/>
    </row>
    <row r="127" spans="1:27" s="278" customFormat="1" x14ac:dyDescent="0.25">
      <c r="A127" s="143"/>
      <c r="B127" s="144"/>
      <c r="C127" s="133"/>
      <c r="D127" s="133"/>
      <c r="E127" s="166"/>
      <c r="F127" s="275"/>
      <c r="G127" s="275"/>
      <c r="H127" s="275"/>
      <c r="I127" s="276"/>
      <c r="J127" s="276"/>
      <c r="K127" s="276"/>
      <c r="L127" s="276"/>
      <c r="M127" s="276"/>
      <c r="N127" s="277"/>
      <c r="O127" s="277"/>
      <c r="P127" s="277"/>
      <c r="Q127" s="277"/>
      <c r="S127" s="277"/>
      <c r="T127" s="277"/>
      <c r="V127" s="154"/>
      <c r="W127" s="154"/>
      <c r="X127" s="154"/>
      <c r="Y127" s="154"/>
      <c r="Z127" s="154"/>
      <c r="AA127" s="154"/>
    </row>
    <row r="128" spans="1:27" s="278" customFormat="1" x14ac:dyDescent="0.25">
      <c r="A128" s="143"/>
      <c r="B128" s="144"/>
      <c r="C128" s="133"/>
      <c r="D128" s="133"/>
      <c r="E128" s="166"/>
      <c r="F128" s="275"/>
      <c r="G128" s="275"/>
      <c r="H128" s="275"/>
      <c r="I128" s="276"/>
      <c r="J128" s="276"/>
      <c r="K128" s="276"/>
      <c r="L128" s="276"/>
      <c r="M128" s="276"/>
      <c r="N128" s="277"/>
      <c r="O128" s="277"/>
      <c r="P128" s="277"/>
      <c r="Q128" s="277"/>
      <c r="S128" s="277"/>
      <c r="T128" s="277"/>
      <c r="V128" s="154"/>
      <c r="W128" s="154"/>
      <c r="X128" s="154"/>
      <c r="Y128" s="154"/>
      <c r="Z128" s="154"/>
      <c r="AA128" s="154"/>
    </row>
    <row r="129" spans="1:27" s="278" customFormat="1" x14ac:dyDescent="0.25">
      <c r="A129" s="143"/>
      <c r="B129" s="144"/>
      <c r="C129" s="133"/>
      <c r="D129" s="133"/>
      <c r="E129" s="166"/>
      <c r="F129" s="275"/>
      <c r="G129" s="275"/>
      <c r="H129" s="275"/>
      <c r="I129" s="276"/>
      <c r="J129" s="276"/>
      <c r="K129" s="276"/>
      <c r="L129" s="276"/>
      <c r="M129" s="276"/>
      <c r="N129" s="277"/>
      <c r="O129" s="277"/>
      <c r="P129" s="277"/>
      <c r="Q129" s="277"/>
      <c r="S129" s="277"/>
      <c r="T129" s="277"/>
      <c r="V129" s="154"/>
      <c r="W129" s="154"/>
      <c r="X129" s="154"/>
      <c r="Y129" s="154"/>
      <c r="Z129" s="154"/>
      <c r="AA129" s="154"/>
    </row>
    <row r="130" spans="1:27" s="278" customFormat="1" x14ac:dyDescent="0.25">
      <c r="A130" s="143"/>
      <c r="B130" s="144"/>
      <c r="C130" s="133"/>
      <c r="D130" s="133"/>
      <c r="E130" s="166"/>
      <c r="F130" s="275"/>
      <c r="G130" s="275"/>
      <c r="H130" s="275"/>
      <c r="I130" s="276"/>
      <c r="J130" s="276"/>
      <c r="K130" s="276"/>
      <c r="L130" s="276"/>
      <c r="M130" s="276"/>
      <c r="N130" s="277"/>
      <c r="O130" s="277"/>
      <c r="P130" s="277"/>
      <c r="Q130" s="277"/>
      <c r="S130" s="277"/>
      <c r="T130" s="277"/>
      <c r="V130" s="154"/>
      <c r="W130" s="154"/>
      <c r="X130" s="154"/>
      <c r="Y130" s="154"/>
      <c r="Z130" s="154"/>
      <c r="AA130" s="154"/>
    </row>
    <row r="131" spans="1:27" s="278" customFormat="1" x14ac:dyDescent="0.25">
      <c r="A131" s="143"/>
      <c r="B131" s="144"/>
      <c r="C131" s="133"/>
      <c r="D131" s="133"/>
      <c r="E131" s="166"/>
      <c r="F131" s="275"/>
      <c r="G131" s="275"/>
      <c r="H131" s="275"/>
      <c r="I131" s="276"/>
      <c r="J131" s="276"/>
      <c r="K131" s="276"/>
      <c r="L131" s="276"/>
      <c r="M131" s="276"/>
      <c r="N131" s="277"/>
      <c r="O131" s="277"/>
      <c r="P131" s="277"/>
      <c r="Q131" s="277"/>
      <c r="S131" s="277"/>
      <c r="T131" s="277"/>
      <c r="V131" s="154"/>
      <c r="W131" s="154"/>
      <c r="X131" s="154"/>
      <c r="Y131" s="154"/>
      <c r="Z131" s="154"/>
      <c r="AA131" s="154"/>
    </row>
    <row r="132" spans="1:27" s="278" customFormat="1" x14ac:dyDescent="0.25">
      <c r="A132" s="143"/>
      <c r="B132" s="144"/>
      <c r="C132" s="133"/>
      <c r="D132" s="133"/>
      <c r="E132" s="166"/>
      <c r="F132" s="275"/>
      <c r="G132" s="275"/>
      <c r="H132" s="275"/>
      <c r="I132" s="276"/>
      <c r="J132" s="276"/>
      <c r="K132" s="276"/>
      <c r="L132" s="276"/>
      <c r="M132" s="276"/>
      <c r="N132" s="277"/>
      <c r="O132" s="277"/>
      <c r="P132" s="277"/>
      <c r="Q132" s="277"/>
      <c r="S132" s="277"/>
      <c r="T132" s="277"/>
      <c r="V132" s="154"/>
      <c r="W132" s="154"/>
      <c r="X132" s="154"/>
      <c r="Y132" s="154"/>
      <c r="Z132" s="154"/>
      <c r="AA132" s="154"/>
    </row>
    <row r="133" spans="1:27" s="278" customFormat="1" x14ac:dyDescent="0.25">
      <c r="A133" s="143"/>
      <c r="B133" s="144"/>
      <c r="C133" s="133"/>
      <c r="D133" s="133"/>
      <c r="E133" s="166"/>
      <c r="F133" s="275"/>
      <c r="G133" s="275"/>
      <c r="H133" s="275"/>
      <c r="I133" s="276"/>
      <c r="J133" s="276"/>
      <c r="K133" s="276"/>
      <c r="L133" s="276"/>
      <c r="M133" s="276"/>
      <c r="N133" s="277"/>
      <c r="O133" s="277"/>
      <c r="P133" s="277"/>
      <c r="Q133" s="277"/>
      <c r="S133" s="277"/>
      <c r="T133" s="277"/>
      <c r="V133" s="154"/>
      <c r="W133" s="154"/>
      <c r="X133" s="154"/>
      <c r="Y133" s="154"/>
      <c r="Z133" s="154"/>
      <c r="AA133" s="154"/>
    </row>
    <row r="134" spans="1:27" s="278" customFormat="1" x14ac:dyDescent="0.25">
      <c r="A134" s="143"/>
      <c r="B134" s="144"/>
      <c r="C134" s="133"/>
      <c r="D134" s="133"/>
      <c r="E134" s="166"/>
      <c r="F134" s="275"/>
      <c r="G134" s="275"/>
      <c r="H134" s="275"/>
      <c r="I134" s="276"/>
      <c r="J134" s="276"/>
      <c r="K134" s="276"/>
      <c r="L134" s="276"/>
      <c r="M134" s="276"/>
      <c r="N134" s="277"/>
      <c r="O134" s="277"/>
      <c r="P134" s="277"/>
      <c r="Q134" s="277"/>
      <c r="S134" s="277"/>
      <c r="T134" s="277"/>
      <c r="V134" s="154"/>
      <c r="W134" s="154"/>
      <c r="X134" s="154"/>
      <c r="Y134" s="154"/>
      <c r="Z134" s="154"/>
      <c r="AA134" s="154"/>
    </row>
    <row r="135" spans="1:27" s="278" customFormat="1" x14ac:dyDescent="0.25">
      <c r="A135" s="143"/>
      <c r="B135" s="144"/>
      <c r="C135" s="133"/>
      <c r="D135" s="133"/>
      <c r="E135" s="166"/>
      <c r="F135" s="275"/>
      <c r="G135" s="275"/>
      <c r="H135" s="275"/>
      <c r="I135" s="276"/>
      <c r="J135" s="276"/>
      <c r="K135" s="276"/>
      <c r="L135" s="276"/>
      <c r="M135" s="276"/>
      <c r="N135" s="277"/>
      <c r="O135" s="277"/>
      <c r="P135" s="277"/>
      <c r="Q135" s="277"/>
      <c r="S135" s="277"/>
      <c r="T135" s="277"/>
      <c r="V135" s="154"/>
      <c r="W135" s="154"/>
      <c r="X135" s="154"/>
      <c r="Y135" s="154"/>
      <c r="Z135" s="154"/>
      <c r="AA135" s="154"/>
    </row>
    <row r="136" spans="1:27" s="278" customFormat="1" x14ac:dyDescent="0.25">
      <c r="A136" s="143"/>
      <c r="B136" s="144"/>
      <c r="C136" s="133"/>
      <c r="D136" s="133"/>
      <c r="E136" s="166"/>
      <c r="F136" s="275"/>
      <c r="G136" s="275"/>
      <c r="H136" s="275"/>
      <c r="I136" s="276"/>
      <c r="J136" s="276"/>
      <c r="K136" s="276"/>
      <c r="L136" s="276"/>
      <c r="M136" s="276"/>
      <c r="N136" s="277"/>
      <c r="O136" s="277"/>
      <c r="P136" s="277"/>
      <c r="Q136" s="277"/>
      <c r="S136" s="277"/>
      <c r="T136" s="277"/>
      <c r="V136" s="154"/>
      <c r="W136" s="154"/>
      <c r="X136" s="154"/>
      <c r="Y136" s="154"/>
      <c r="Z136" s="154"/>
      <c r="AA136" s="154"/>
    </row>
    <row r="137" spans="1:27" s="278" customFormat="1" x14ac:dyDescent="0.25">
      <c r="A137" s="143"/>
      <c r="B137" s="144"/>
      <c r="C137" s="133"/>
      <c r="D137" s="133"/>
      <c r="E137" s="166"/>
      <c r="F137" s="275"/>
      <c r="G137" s="275"/>
      <c r="H137" s="275"/>
      <c r="I137" s="276"/>
      <c r="J137" s="276"/>
      <c r="K137" s="276"/>
      <c r="L137" s="276"/>
      <c r="M137" s="276"/>
      <c r="N137" s="277"/>
      <c r="O137" s="277"/>
      <c r="P137" s="277"/>
      <c r="Q137" s="277"/>
      <c r="S137" s="277"/>
      <c r="T137" s="277"/>
      <c r="V137" s="154"/>
      <c r="W137" s="154"/>
      <c r="X137" s="154"/>
      <c r="Y137" s="154"/>
      <c r="Z137" s="154"/>
      <c r="AA137" s="154"/>
    </row>
    <row r="138" spans="1:27" s="278" customFormat="1" x14ac:dyDescent="0.25">
      <c r="A138" s="143"/>
      <c r="B138" s="144"/>
      <c r="C138" s="133"/>
      <c r="D138" s="133"/>
      <c r="E138" s="166"/>
      <c r="F138" s="275"/>
      <c r="G138" s="275"/>
      <c r="H138" s="275"/>
      <c r="I138" s="276"/>
      <c r="J138" s="276"/>
      <c r="K138" s="276"/>
      <c r="L138" s="276"/>
      <c r="M138" s="276"/>
      <c r="N138" s="277"/>
      <c r="O138" s="277"/>
      <c r="P138" s="277"/>
      <c r="Q138" s="277"/>
      <c r="S138" s="277"/>
      <c r="T138" s="277"/>
      <c r="V138" s="154"/>
      <c r="W138" s="154"/>
      <c r="X138" s="154"/>
      <c r="Y138" s="154"/>
      <c r="Z138" s="154"/>
      <c r="AA138" s="154"/>
    </row>
    <row r="139" spans="1:27" s="278" customFormat="1" x14ac:dyDescent="0.25">
      <c r="A139" s="143"/>
      <c r="B139" s="144"/>
      <c r="C139" s="133"/>
      <c r="D139" s="133"/>
      <c r="E139" s="166"/>
      <c r="F139" s="275"/>
      <c r="G139" s="275"/>
      <c r="H139" s="275"/>
      <c r="I139" s="276"/>
      <c r="J139" s="276"/>
      <c r="K139" s="276"/>
      <c r="L139" s="276"/>
      <c r="M139" s="276"/>
      <c r="N139" s="277"/>
      <c r="O139" s="277"/>
      <c r="P139" s="277"/>
      <c r="Q139" s="277"/>
      <c r="S139" s="277"/>
      <c r="T139" s="277"/>
      <c r="V139" s="154"/>
      <c r="W139" s="154"/>
      <c r="X139" s="154"/>
      <c r="Y139" s="154"/>
      <c r="Z139" s="154"/>
      <c r="AA139" s="154"/>
    </row>
    <row r="140" spans="1:27" s="278" customFormat="1" x14ac:dyDescent="0.25">
      <c r="A140" s="143"/>
      <c r="B140" s="144"/>
      <c r="C140" s="133"/>
      <c r="D140" s="133"/>
      <c r="E140" s="166"/>
      <c r="F140" s="275"/>
      <c r="G140" s="275"/>
      <c r="H140" s="275"/>
      <c r="I140" s="276"/>
      <c r="J140" s="276"/>
      <c r="K140" s="276"/>
      <c r="L140" s="276"/>
      <c r="M140" s="276"/>
      <c r="N140" s="277"/>
      <c r="O140" s="277"/>
      <c r="P140" s="277"/>
      <c r="Q140" s="277"/>
      <c r="S140" s="277"/>
      <c r="T140" s="277"/>
      <c r="V140" s="154"/>
      <c r="W140" s="154"/>
      <c r="X140" s="154"/>
      <c r="Y140" s="154"/>
      <c r="Z140" s="154"/>
      <c r="AA140" s="154"/>
    </row>
    <row r="141" spans="1:27" s="278" customFormat="1" x14ac:dyDescent="0.25">
      <c r="A141" s="143"/>
      <c r="B141" s="144"/>
      <c r="C141" s="133"/>
      <c r="D141" s="133"/>
      <c r="E141" s="166"/>
      <c r="F141" s="275"/>
      <c r="G141" s="275"/>
      <c r="H141" s="275"/>
      <c r="I141" s="276"/>
      <c r="J141" s="276"/>
      <c r="K141" s="276"/>
      <c r="L141" s="276"/>
      <c r="M141" s="276"/>
      <c r="N141" s="277"/>
      <c r="O141" s="277"/>
      <c r="P141" s="277"/>
      <c r="Q141" s="277"/>
      <c r="S141" s="277"/>
      <c r="T141" s="277"/>
      <c r="V141" s="154"/>
      <c r="W141" s="154"/>
      <c r="X141" s="154"/>
      <c r="Y141" s="154"/>
      <c r="Z141" s="154"/>
      <c r="AA141" s="154"/>
    </row>
    <row r="142" spans="1:27" s="278" customFormat="1" x14ac:dyDescent="0.25">
      <c r="A142" s="143"/>
      <c r="B142" s="144"/>
      <c r="C142" s="133"/>
      <c r="D142" s="133"/>
      <c r="E142" s="166"/>
      <c r="F142" s="275"/>
      <c r="G142" s="275"/>
      <c r="H142" s="275"/>
      <c r="I142" s="276"/>
      <c r="J142" s="276"/>
      <c r="K142" s="276"/>
      <c r="L142" s="276"/>
      <c r="M142" s="276"/>
      <c r="N142" s="277"/>
      <c r="O142" s="277"/>
      <c r="P142" s="277"/>
      <c r="Q142" s="277"/>
      <c r="S142" s="277"/>
      <c r="T142" s="277"/>
      <c r="V142" s="154"/>
      <c r="W142" s="154"/>
      <c r="X142" s="154"/>
      <c r="Y142" s="154"/>
      <c r="Z142" s="154"/>
      <c r="AA142" s="154"/>
    </row>
    <row r="143" spans="1:27" s="278" customFormat="1" x14ac:dyDescent="0.25">
      <c r="A143" s="143"/>
      <c r="B143" s="144"/>
      <c r="C143" s="133"/>
      <c r="D143" s="133"/>
      <c r="E143" s="166"/>
      <c r="F143" s="275"/>
      <c r="G143" s="275"/>
      <c r="H143" s="275"/>
      <c r="I143" s="276"/>
      <c r="J143" s="276"/>
      <c r="K143" s="276"/>
      <c r="L143" s="276"/>
      <c r="M143" s="276"/>
      <c r="N143" s="277"/>
      <c r="O143" s="277"/>
      <c r="P143" s="277"/>
      <c r="Q143" s="277"/>
      <c r="S143" s="277"/>
      <c r="T143" s="277"/>
      <c r="V143" s="154"/>
      <c r="W143" s="154"/>
      <c r="X143" s="154"/>
      <c r="Y143" s="154"/>
      <c r="Z143" s="154"/>
      <c r="AA143" s="154"/>
    </row>
    <row r="144" spans="1:27" s="278" customFormat="1" x14ac:dyDescent="0.25">
      <c r="A144" s="143"/>
      <c r="B144" s="144"/>
      <c r="C144" s="133"/>
      <c r="D144" s="133"/>
      <c r="E144" s="166"/>
      <c r="F144" s="275"/>
      <c r="G144" s="275"/>
      <c r="H144" s="275"/>
      <c r="I144" s="276"/>
      <c r="J144" s="276"/>
      <c r="K144" s="276"/>
      <c r="L144" s="276"/>
      <c r="M144" s="276"/>
      <c r="N144" s="277"/>
      <c r="O144" s="277"/>
      <c r="P144" s="277"/>
      <c r="Q144" s="277"/>
      <c r="S144" s="277"/>
      <c r="T144" s="277"/>
      <c r="V144" s="154"/>
      <c r="W144" s="154"/>
      <c r="X144" s="154"/>
      <c r="Y144" s="154"/>
      <c r="Z144" s="154"/>
      <c r="AA144" s="154"/>
    </row>
    <row r="145" spans="1:27" s="278" customFormat="1" x14ac:dyDescent="0.25">
      <c r="A145" s="143"/>
      <c r="B145" s="144"/>
      <c r="C145" s="133"/>
      <c r="D145" s="133"/>
      <c r="E145" s="166"/>
      <c r="F145" s="275"/>
      <c r="G145" s="275"/>
      <c r="H145" s="275"/>
      <c r="I145" s="276"/>
      <c r="J145" s="276"/>
      <c r="K145" s="276"/>
      <c r="L145" s="276"/>
      <c r="M145" s="276"/>
      <c r="N145" s="277"/>
      <c r="O145" s="277"/>
      <c r="P145" s="277"/>
      <c r="Q145" s="277"/>
      <c r="S145" s="277"/>
      <c r="T145" s="277"/>
      <c r="V145" s="154"/>
      <c r="W145" s="154"/>
      <c r="X145" s="154"/>
      <c r="Y145" s="154"/>
      <c r="Z145" s="154"/>
      <c r="AA145" s="154"/>
    </row>
    <row r="146" spans="1:27" s="278" customFormat="1" x14ac:dyDescent="0.25">
      <c r="A146" s="143"/>
      <c r="B146" s="144"/>
      <c r="C146" s="133"/>
      <c r="D146" s="133"/>
      <c r="E146" s="166"/>
      <c r="F146" s="275"/>
      <c r="G146" s="275"/>
      <c r="H146" s="275"/>
      <c r="I146" s="276"/>
      <c r="J146" s="276"/>
      <c r="K146" s="276"/>
      <c r="L146" s="276"/>
      <c r="M146" s="276"/>
      <c r="N146" s="277"/>
      <c r="O146" s="277"/>
      <c r="P146" s="277"/>
      <c r="Q146" s="277"/>
      <c r="S146" s="277"/>
      <c r="T146" s="277"/>
      <c r="V146" s="154"/>
      <c r="W146" s="154"/>
      <c r="X146" s="154"/>
      <c r="Y146" s="154"/>
      <c r="Z146" s="154"/>
      <c r="AA146" s="154"/>
    </row>
    <row r="147" spans="1:27" s="278" customFormat="1" x14ac:dyDescent="0.25">
      <c r="A147" s="143"/>
      <c r="B147" s="144"/>
      <c r="C147" s="133"/>
      <c r="D147" s="133"/>
      <c r="E147" s="166"/>
      <c r="F147" s="275"/>
      <c r="G147" s="275"/>
      <c r="H147" s="275"/>
      <c r="I147" s="276"/>
      <c r="J147" s="276"/>
      <c r="K147" s="276"/>
      <c r="L147" s="276"/>
      <c r="M147" s="276"/>
      <c r="N147" s="277"/>
      <c r="O147" s="277"/>
      <c r="P147" s="277"/>
      <c r="Q147" s="277"/>
      <c r="S147" s="277"/>
      <c r="T147" s="277"/>
      <c r="V147" s="154"/>
      <c r="W147" s="154"/>
      <c r="X147" s="154"/>
      <c r="Y147" s="154"/>
      <c r="Z147" s="154"/>
      <c r="AA147" s="154"/>
    </row>
    <row r="148" spans="1:27" s="278" customFormat="1" x14ac:dyDescent="0.25">
      <c r="A148" s="143"/>
      <c r="B148" s="144"/>
      <c r="C148" s="133"/>
      <c r="D148" s="133"/>
      <c r="E148" s="166"/>
      <c r="F148" s="275"/>
      <c r="G148" s="275"/>
      <c r="H148" s="275"/>
      <c r="I148" s="276"/>
      <c r="J148" s="276"/>
      <c r="K148" s="276"/>
      <c r="L148" s="276"/>
      <c r="M148" s="276"/>
      <c r="N148" s="277"/>
      <c r="O148" s="277"/>
      <c r="P148" s="277"/>
      <c r="Q148" s="277"/>
      <c r="S148" s="277"/>
      <c r="T148" s="277"/>
      <c r="V148" s="154"/>
      <c r="W148" s="154"/>
      <c r="X148" s="154"/>
      <c r="Y148" s="154"/>
      <c r="Z148" s="154"/>
      <c r="AA148" s="154"/>
    </row>
    <row r="149" spans="1:27" s="278" customFormat="1" x14ac:dyDescent="0.25">
      <c r="A149" s="143"/>
      <c r="B149" s="144"/>
      <c r="C149" s="133"/>
      <c r="D149" s="133"/>
      <c r="E149" s="166"/>
      <c r="F149" s="275"/>
      <c r="G149" s="275"/>
      <c r="H149" s="275"/>
      <c r="I149" s="276"/>
      <c r="J149" s="276"/>
      <c r="K149" s="276"/>
      <c r="L149" s="276"/>
      <c r="M149" s="276"/>
      <c r="N149" s="277"/>
      <c r="O149" s="277"/>
      <c r="P149" s="277"/>
      <c r="Q149" s="277"/>
      <c r="S149" s="277"/>
      <c r="T149" s="277"/>
      <c r="V149" s="154"/>
      <c r="W149" s="154"/>
      <c r="X149" s="154"/>
      <c r="Y149" s="154"/>
      <c r="Z149" s="154"/>
      <c r="AA149" s="154"/>
    </row>
    <row r="150" spans="1:27" s="278" customFormat="1" x14ac:dyDescent="0.25">
      <c r="A150" s="143"/>
      <c r="B150" s="144"/>
      <c r="C150" s="133"/>
      <c r="D150" s="133"/>
      <c r="E150" s="166"/>
      <c r="F150" s="275"/>
      <c r="G150" s="275"/>
      <c r="H150" s="275"/>
      <c r="I150" s="276"/>
      <c r="J150" s="276"/>
      <c r="K150" s="276"/>
      <c r="L150" s="276"/>
      <c r="M150" s="276"/>
      <c r="N150" s="277"/>
      <c r="O150" s="277"/>
      <c r="P150" s="277"/>
      <c r="Q150" s="277"/>
      <c r="S150" s="277"/>
      <c r="T150" s="277"/>
      <c r="V150" s="154"/>
      <c r="W150" s="154"/>
      <c r="X150" s="154"/>
      <c r="Y150" s="154"/>
      <c r="Z150" s="154"/>
      <c r="AA150" s="154"/>
    </row>
    <row r="151" spans="1:27" s="278" customFormat="1" x14ac:dyDescent="0.25">
      <c r="A151" s="143"/>
      <c r="B151" s="144"/>
      <c r="C151" s="133"/>
      <c r="D151" s="133"/>
      <c r="E151" s="166"/>
      <c r="F151" s="275"/>
      <c r="G151" s="275"/>
      <c r="H151" s="275"/>
      <c r="I151" s="276"/>
      <c r="J151" s="276"/>
      <c r="K151" s="276"/>
      <c r="L151" s="276"/>
      <c r="M151" s="276"/>
      <c r="N151" s="277"/>
      <c r="O151" s="277"/>
      <c r="P151" s="277"/>
      <c r="Q151" s="277"/>
      <c r="S151" s="277"/>
      <c r="T151" s="277"/>
      <c r="V151" s="154"/>
      <c r="W151" s="154"/>
      <c r="X151" s="154"/>
      <c r="Y151" s="154"/>
      <c r="Z151" s="154"/>
      <c r="AA151" s="154"/>
    </row>
    <row r="152" spans="1:27" s="278" customFormat="1" x14ac:dyDescent="0.25">
      <c r="A152" s="143"/>
      <c r="B152" s="144"/>
      <c r="C152" s="133"/>
      <c r="D152" s="133"/>
      <c r="E152" s="166"/>
      <c r="F152" s="275"/>
      <c r="G152" s="275"/>
      <c r="H152" s="275"/>
      <c r="I152" s="276"/>
      <c r="J152" s="276"/>
      <c r="K152" s="276"/>
      <c r="L152" s="276"/>
      <c r="M152" s="276"/>
      <c r="N152" s="277"/>
      <c r="O152" s="277"/>
      <c r="P152" s="277"/>
      <c r="Q152" s="277"/>
      <c r="S152" s="277"/>
      <c r="T152" s="277"/>
      <c r="V152" s="154"/>
      <c r="W152" s="154"/>
      <c r="X152" s="154"/>
      <c r="Y152" s="154"/>
      <c r="Z152" s="154"/>
      <c r="AA152" s="154"/>
    </row>
    <row r="153" spans="1:27" s="278" customFormat="1" x14ac:dyDescent="0.25">
      <c r="A153" s="143"/>
      <c r="B153" s="144"/>
      <c r="C153" s="133"/>
      <c r="D153" s="133"/>
      <c r="E153" s="166"/>
      <c r="F153" s="275"/>
      <c r="G153" s="275"/>
      <c r="H153" s="275"/>
      <c r="I153" s="276"/>
      <c r="J153" s="276"/>
      <c r="K153" s="276"/>
      <c r="L153" s="276"/>
      <c r="M153" s="276"/>
      <c r="N153" s="277"/>
      <c r="O153" s="277"/>
      <c r="P153" s="277"/>
      <c r="Q153" s="277"/>
      <c r="S153" s="277"/>
      <c r="T153" s="277"/>
      <c r="V153" s="154"/>
      <c r="W153" s="154"/>
      <c r="X153" s="154"/>
      <c r="Y153" s="154"/>
      <c r="Z153" s="154"/>
      <c r="AA153" s="154"/>
    </row>
    <row r="154" spans="1:27" s="278" customFormat="1" x14ac:dyDescent="0.25">
      <c r="A154" s="143"/>
      <c r="B154" s="144"/>
      <c r="C154" s="133"/>
      <c r="D154" s="133"/>
      <c r="E154" s="166"/>
      <c r="F154" s="275"/>
      <c r="G154" s="275"/>
      <c r="H154" s="275"/>
      <c r="I154" s="276"/>
      <c r="J154" s="276"/>
      <c r="K154" s="276"/>
      <c r="L154" s="276"/>
      <c r="M154" s="276"/>
      <c r="N154" s="277"/>
      <c r="O154" s="277"/>
      <c r="P154" s="277"/>
      <c r="Q154" s="277"/>
      <c r="S154" s="277"/>
      <c r="T154" s="277"/>
      <c r="V154" s="154"/>
      <c r="W154" s="154"/>
      <c r="X154" s="154"/>
      <c r="Y154" s="154"/>
      <c r="Z154" s="154"/>
      <c r="AA154" s="154"/>
    </row>
    <row r="155" spans="1:27" s="278" customFormat="1" x14ac:dyDescent="0.25">
      <c r="A155" s="143"/>
      <c r="B155" s="144"/>
      <c r="C155" s="133"/>
      <c r="D155" s="133"/>
      <c r="E155" s="166"/>
      <c r="F155" s="275"/>
      <c r="G155" s="275"/>
      <c r="H155" s="275"/>
      <c r="I155" s="276"/>
      <c r="J155" s="276"/>
      <c r="K155" s="276"/>
      <c r="L155" s="276"/>
      <c r="M155" s="276"/>
      <c r="N155" s="277"/>
      <c r="O155" s="277"/>
      <c r="P155" s="277"/>
      <c r="Q155" s="277"/>
      <c r="S155" s="277"/>
      <c r="T155" s="277"/>
      <c r="V155" s="154"/>
      <c r="W155" s="154"/>
      <c r="X155" s="154"/>
      <c r="Y155" s="154"/>
      <c r="Z155" s="154"/>
      <c r="AA155" s="154"/>
    </row>
    <row r="156" spans="1:27" s="278" customFormat="1" x14ac:dyDescent="0.25">
      <c r="A156" s="143"/>
      <c r="B156" s="144"/>
      <c r="C156" s="133"/>
      <c r="D156" s="133"/>
      <c r="E156" s="166"/>
      <c r="F156" s="275"/>
      <c r="G156" s="275"/>
      <c r="H156" s="275"/>
      <c r="I156" s="276"/>
      <c r="J156" s="276"/>
      <c r="K156" s="276"/>
      <c r="L156" s="276"/>
      <c r="M156" s="276"/>
      <c r="N156" s="277"/>
      <c r="O156" s="277"/>
      <c r="P156" s="277"/>
      <c r="Q156" s="277"/>
      <c r="S156" s="277"/>
      <c r="T156" s="277"/>
      <c r="V156" s="154"/>
      <c r="W156" s="154"/>
      <c r="X156" s="154"/>
      <c r="Y156" s="154"/>
      <c r="Z156" s="154"/>
      <c r="AA156" s="154"/>
    </row>
    <row r="157" spans="1:27" s="278" customFormat="1" x14ac:dyDescent="0.25">
      <c r="A157" s="143"/>
      <c r="B157" s="144"/>
      <c r="C157" s="133"/>
      <c r="D157" s="133"/>
      <c r="E157" s="166"/>
      <c r="F157" s="275"/>
      <c r="G157" s="275"/>
      <c r="H157" s="275"/>
      <c r="I157" s="276"/>
      <c r="J157" s="276"/>
      <c r="K157" s="276"/>
      <c r="L157" s="276"/>
      <c r="M157" s="276"/>
      <c r="N157" s="277"/>
      <c r="O157" s="277"/>
      <c r="P157" s="277"/>
      <c r="Q157" s="277"/>
      <c r="S157" s="277"/>
      <c r="T157" s="277"/>
      <c r="V157" s="154"/>
      <c r="W157" s="154"/>
      <c r="X157" s="154"/>
      <c r="Y157" s="154"/>
      <c r="Z157" s="154"/>
      <c r="AA157" s="154"/>
    </row>
    <row r="158" spans="1:27" s="278" customFormat="1" x14ac:dyDescent="0.25">
      <c r="A158" s="143"/>
      <c r="B158" s="144"/>
      <c r="C158" s="133"/>
      <c r="D158" s="133"/>
      <c r="E158" s="166"/>
      <c r="F158" s="275"/>
      <c r="G158" s="275"/>
      <c r="H158" s="275"/>
      <c r="I158" s="276"/>
      <c r="J158" s="276"/>
      <c r="K158" s="276"/>
      <c r="L158" s="276"/>
      <c r="M158" s="276"/>
      <c r="N158" s="277"/>
      <c r="O158" s="277"/>
      <c r="P158" s="277"/>
      <c r="Q158" s="277"/>
      <c r="S158" s="277"/>
      <c r="T158" s="277"/>
      <c r="V158" s="154"/>
      <c r="W158" s="154"/>
      <c r="X158" s="154"/>
      <c r="Y158" s="154"/>
      <c r="Z158" s="154"/>
      <c r="AA158" s="154"/>
    </row>
    <row r="159" spans="1:27" s="278" customFormat="1" x14ac:dyDescent="0.25">
      <c r="A159" s="143"/>
      <c r="B159" s="144"/>
      <c r="C159" s="133"/>
      <c r="D159" s="133"/>
      <c r="E159" s="166"/>
      <c r="F159" s="275"/>
      <c r="G159" s="275"/>
      <c r="H159" s="275"/>
      <c r="I159" s="276"/>
      <c r="J159" s="276"/>
      <c r="K159" s="276"/>
      <c r="L159" s="276"/>
      <c r="M159" s="276"/>
      <c r="N159" s="277"/>
      <c r="O159" s="277"/>
      <c r="P159" s="277"/>
      <c r="Q159" s="277"/>
      <c r="S159" s="277"/>
      <c r="T159" s="277"/>
      <c r="V159" s="154"/>
      <c r="W159" s="154"/>
      <c r="X159" s="154"/>
      <c r="Y159" s="154"/>
      <c r="Z159" s="154"/>
      <c r="AA159" s="154"/>
    </row>
    <row r="160" spans="1:27" s="278" customFormat="1" x14ac:dyDescent="0.25">
      <c r="A160" s="143"/>
      <c r="B160" s="144"/>
      <c r="C160" s="133"/>
      <c r="D160" s="133"/>
      <c r="E160" s="166"/>
      <c r="F160" s="275"/>
      <c r="G160" s="275"/>
      <c r="H160" s="275"/>
      <c r="I160" s="276"/>
      <c r="J160" s="276"/>
      <c r="K160" s="276"/>
      <c r="L160" s="276"/>
      <c r="M160" s="276"/>
      <c r="N160" s="277"/>
      <c r="O160" s="277"/>
      <c r="P160" s="277"/>
      <c r="Q160" s="277"/>
      <c r="S160" s="277"/>
      <c r="T160" s="277"/>
      <c r="V160" s="154"/>
      <c r="W160" s="154"/>
      <c r="X160" s="154"/>
      <c r="Y160" s="154"/>
      <c r="Z160" s="154"/>
      <c r="AA160" s="154"/>
    </row>
    <row r="161" spans="1:27" s="278" customFormat="1" x14ac:dyDescent="0.25">
      <c r="A161" s="143"/>
      <c r="B161" s="144"/>
      <c r="C161" s="133"/>
      <c r="D161" s="133"/>
      <c r="E161" s="166"/>
      <c r="F161" s="275"/>
      <c r="G161" s="275"/>
      <c r="H161" s="275"/>
      <c r="I161" s="276"/>
      <c r="J161" s="276"/>
      <c r="K161" s="276"/>
      <c r="L161" s="276"/>
      <c r="M161" s="276"/>
      <c r="N161" s="277"/>
      <c r="O161" s="277"/>
      <c r="P161" s="277"/>
      <c r="Q161" s="277"/>
      <c r="S161" s="277"/>
      <c r="T161" s="277"/>
      <c r="V161" s="154"/>
      <c r="W161" s="154"/>
      <c r="X161" s="154"/>
      <c r="Y161" s="154"/>
      <c r="Z161" s="154"/>
      <c r="AA161" s="154"/>
    </row>
    <row r="162" spans="1:27" s="278" customFormat="1" x14ac:dyDescent="0.25">
      <c r="A162" s="143"/>
      <c r="B162" s="144"/>
      <c r="C162" s="133"/>
      <c r="D162" s="133"/>
      <c r="E162" s="166"/>
      <c r="F162" s="275"/>
      <c r="G162" s="275"/>
      <c r="H162" s="275"/>
      <c r="I162" s="276"/>
      <c r="J162" s="276"/>
      <c r="K162" s="276"/>
      <c r="L162" s="276"/>
      <c r="M162" s="276"/>
      <c r="N162" s="277"/>
      <c r="O162" s="277"/>
      <c r="P162" s="277"/>
      <c r="Q162" s="277"/>
      <c r="S162" s="277"/>
      <c r="T162" s="277"/>
      <c r="V162" s="154"/>
      <c r="W162" s="154"/>
      <c r="X162" s="154"/>
      <c r="Y162" s="154"/>
      <c r="Z162" s="154"/>
      <c r="AA162" s="154"/>
    </row>
    <row r="163" spans="1:27" s="278" customFormat="1" x14ac:dyDescent="0.25">
      <c r="A163" s="143"/>
      <c r="B163" s="144"/>
      <c r="C163" s="133"/>
      <c r="D163" s="133"/>
      <c r="E163" s="166"/>
      <c r="F163" s="275"/>
      <c r="G163" s="275"/>
      <c r="H163" s="275"/>
      <c r="I163" s="276"/>
      <c r="J163" s="276"/>
      <c r="K163" s="276"/>
      <c r="L163" s="276"/>
      <c r="M163" s="276"/>
      <c r="N163" s="277"/>
      <c r="O163" s="277"/>
      <c r="P163" s="277"/>
      <c r="Q163" s="277"/>
      <c r="S163" s="277"/>
      <c r="T163" s="277"/>
      <c r="V163" s="154"/>
      <c r="W163" s="154"/>
      <c r="X163" s="154"/>
      <c r="Y163" s="154"/>
      <c r="Z163" s="154"/>
      <c r="AA163" s="154"/>
    </row>
    <row r="164" spans="1:27" s="278" customFormat="1" x14ac:dyDescent="0.25">
      <c r="A164" s="143"/>
      <c r="B164" s="144"/>
      <c r="C164" s="133"/>
      <c r="D164" s="133"/>
      <c r="E164" s="166"/>
      <c r="F164" s="275"/>
      <c r="G164" s="275"/>
      <c r="H164" s="275"/>
      <c r="I164" s="276"/>
      <c r="J164" s="276"/>
      <c r="K164" s="276"/>
      <c r="L164" s="276"/>
      <c r="M164" s="276"/>
      <c r="N164" s="277"/>
      <c r="O164" s="277"/>
      <c r="P164" s="277"/>
      <c r="Q164" s="277"/>
      <c r="S164" s="277"/>
      <c r="T164" s="277"/>
      <c r="V164" s="154"/>
      <c r="W164" s="154"/>
      <c r="X164" s="154"/>
      <c r="Y164" s="154"/>
      <c r="Z164" s="154"/>
      <c r="AA164" s="154"/>
    </row>
    <row r="165" spans="1:27" s="278" customFormat="1" x14ac:dyDescent="0.25">
      <c r="A165" s="143"/>
      <c r="B165" s="144"/>
      <c r="C165" s="133"/>
      <c r="D165" s="133"/>
      <c r="E165" s="166"/>
      <c r="F165" s="275"/>
      <c r="G165" s="275"/>
      <c r="H165" s="275"/>
      <c r="I165" s="276"/>
      <c r="J165" s="276"/>
      <c r="K165" s="276"/>
      <c r="L165" s="276"/>
      <c r="M165" s="276"/>
      <c r="N165" s="277"/>
      <c r="O165" s="277"/>
      <c r="P165" s="277"/>
      <c r="Q165" s="277"/>
      <c r="S165" s="277"/>
      <c r="T165" s="277"/>
      <c r="V165" s="154"/>
      <c r="W165" s="154"/>
      <c r="X165" s="154"/>
      <c r="Y165" s="154"/>
      <c r="Z165" s="154"/>
      <c r="AA165" s="154"/>
    </row>
    <row r="166" spans="1:27" s="278" customFormat="1" x14ac:dyDescent="0.25">
      <c r="A166" s="143"/>
      <c r="B166" s="144"/>
      <c r="C166" s="133"/>
      <c r="D166" s="133"/>
      <c r="E166" s="166"/>
      <c r="F166" s="275"/>
      <c r="G166" s="275"/>
      <c r="H166" s="275"/>
      <c r="I166" s="276"/>
      <c r="J166" s="276"/>
      <c r="K166" s="276"/>
      <c r="L166" s="276"/>
      <c r="M166" s="276"/>
      <c r="N166" s="277"/>
      <c r="O166" s="277"/>
      <c r="P166" s="277"/>
      <c r="Q166" s="277"/>
      <c r="S166" s="277"/>
      <c r="T166" s="277"/>
      <c r="V166" s="154"/>
      <c r="W166" s="154"/>
      <c r="X166" s="154"/>
      <c r="Y166" s="154"/>
      <c r="Z166" s="154"/>
      <c r="AA166" s="154"/>
    </row>
    <row r="167" spans="1:27" s="278" customFormat="1" x14ac:dyDescent="0.25">
      <c r="A167" s="143"/>
      <c r="B167" s="144"/>
      <c r="C167" s="133"/>
      <c r="D167" s="133"/>
      <c r="E167" s="166"/>
      <c r="F167" s="275"/>
      <c r="G167" s="275"/>
      <c r="H167" s="275"/>
      <c r="I167" s="276"/>
      <c r="J167" s="276"/>
      <c r="K167" s="276"/>
      <c r="L167" s="276"/>
      <c r="M167" s="276"/>
      <c r="N167" s="277"/>
      <c r="O167" s="277"/>
      <c r="P167" s="277"/>
      <c r="Q167" s="277"/>
      <c r="S167" s="277"/>
      <c r="T167" s="277"/>
      <c r="V167" s="154"/>
      <c r="W167" s="154"/>
      <c r="X167" s="154"/>
      <c r="Y167" s="154"/>
      <c r="Z167" s="154"/>
      <c r="AA167" s="154"/>
    </row>
    <row r="168" spans="1:27" s="278" customFormat="1" x14ac:dyDescent="0.25">
      <c r="A168" s="143"/>
      <c r="B168" s="144"/>
      <c r="C168" s="133"/>
      <c r="D168" s="133"/>
      <c r="E168" s="166"/>
      <c r="F168" s="275"/>
      <c r="G168" s="275"/>
      <c r="H168" s="275"/>
      <c r="I168" s="276"/>
      <c r="J168" s="276"/>
      <c r="K168" s="276"/>
      <c r="L168" s="276"/>
      <c r="M168" s="276"/>
      <c r="N168" s="277"/>
      <c r="O168" s="277"/>
      <c r="P168" s="277"/>
      <c r="Q168" s="277"/>
      <c r="S168" s="277"/>
      <c r="T168" s="277"/>
      <c r="V168" s="154"/>
      <c r="W168" s="154"/>
      <c r="X168" s="154"/>
      <c r="Y168" s="154"/>
      <c r="Z168" s="154"/>
      <c r="AA168" s="154"/>
    </row>
    <row r="169" spans="1:27" s="278" customFormat="1" x14ac:dyDescent="0.25">
      <c r="A169" s="143"/>
      <c r="B169" s="144"/>
      <c r="C169" s="133"/>
      <c r="D169" s="133"/>
      <c r="E169" s="166"/>
      <c r="F169" s="275"/>
      <c r="G169" s="275"/>
      <c r="H169" s="275"/>
      <c r="I169" s="276"/>
      <c r="J169" s="276"/>
      <c r="K169" s="276"/>
      <c r="L169" s="276"/>
      <c r="M169" s="276"/>
      <c r="N169" s="277"/>
      <c r="O169" s="277"/>
      <c r="P169" s="277"/>
      <c r="Q169" s="277"/>
      <c r="S169" s="277"/>
      <c r="T169" s="277"/>
      <c r="V169" s="154"/>
      <c r="W169" s="154"/>
      <c r="X169" s="154"/>
      <c r="Y169" s="154"/>
      <c r="Z169" s="154"/>
      <c r="AA169" s="154"/>
    </row>
    <row r="170" spans="1:27" s="278" customFormat="1" x14ac:dyDescent="0.25">
      <c r="A170" s="143"/>
      <c r="B170" s="144"/>
      <c r="C170" s="133"/>
      <c r="D170" s="133"/>
      <c r="E170" s="166"/>
      <c r="F170" s="275"/>
      <c r="G170" s="275"/>
      <c r="H170" s="275"/>
      <c r="I170" s="276"/>
      <c r="J170" s="276"/>
      <c r="K170" s="276"/>
      <c r="L170" s="276"/>
      <c r="M170" s="276"/>
      <c r="N170" s="277"/>
      <c r="O170" s="277"/>
      <c r="P170" s="277"/>
      <c r="Q170" s="277"/>
      <c r="S170" s="277"/>
      <c r="T170" s="277"/>
      <c r="V170" s="154"/>
      <c r="W170" s="154"/>
      <c r="X170" s="154"/>
      <c r="Y170" s="154"/>
      <c r="Z170" s="154"/>
      <c r="AA170" s="154"/>
    </row>
    <row r="171" spans="1:27" s="278" customFormat="1" x14ac:dyDescent="0.25">
      <c r="A171" s="143"/>
      <c r="B171" s="144"/>
      <c r="C171" s="133"/>
      <c r="D171" s="133"/>
      <c r="E171" s="166"/>
      <c r="F171" s="275"/>
      <c r="G171" s="275"/>
      <c r="H171" s="275"/>
      <c r="I171" s="276"/>
      <c r="J171" s="276"/>
      <c r="K171" s="276"/>
      <c r="L171" s="276"/>
      <c r="M171" s="276"/>
      <c r="N171" s="277"/>
      <c r="O171" s="277"/>
      <c r="P171" s="277"/>
      <c r="Q171" s="277"/>
      <c r="S171" s="277"/>
      <c r="T171" s="277"/>
      <c r="V171" s="154"/>
      <c r="W171" s="154"/>
      <c r="X171" s="154"/>
      <c r="Y171" s="154"/>
      <c r="Z171" s="154"/>
      <c r="AA171" s="154"/>
    </row>
    <row r="172" spans="1:27" s="278" customFormat="1" x14ac:dyDescent="0.25">
      <c r="A172" s="143"/>
      <c r="B172" s="144"/>
      <c r="C172" s="133"/>
      <c r="D172" s="133"/>
      <c r="E172" s="166"/>
      <c r="F172" s="275"/>
      <c r="G172" s="275"/>
      <c r="H172" s="275"/>
      <c r="I172" s="276"/>
      <c r="J172" s="276"/>
      <c r="K172" s="276"/>
      <c r="L172" s="276"/>
      <c r="M172" s="276"/>
      <c r="N172" s="277"/>
      <c r="O172" s="277"/>
      <c r="P172" s="277"/>
      <c r="Q172" s="277"/>
      <c r="S172" s="277"/>
      <c r="T172" s="277"/>
      <c r="V172" s="154"/>
      <c r="W172" s="154"/>
      <c r="X172" s="154"/>
      <c r="Y172" s="154"/>
      <c r="Z172" s="154"/>
      <c r="AA172" s="154"/>
    </row>
    <row r="173" spans="1:27" s="278" customFormat="1" x14ac:dyDescent="0.25">
      <c r="A173" s="143"/>
      <c r="B173" s="144"/>
      <c r="C173" s="133"/>
      <c r="D173" s="133"/>
      <c r="E173" s="166"/>
      <c r="F173" s="275"/>
      <c r="G173" s="275"/>
      <c r="H173" s="275"/>
      <c r="I173" s="276"/>
      <c r="J173" s="276"/>
      <c r="K173" s="276"/>
      <c r="L173" s="276"/>
      <c r="M173" s="276"/>
      <c r="N173" s="277"/>
      <c r="O173" s="277"/>
      <c r="P173" s="277"/>
      <c r="Q173" s="277"/>
      <c r="S173" s="277"/>
      <c r="T173" s="277"/>
      <c r="V173" s="154"/>
      <c r="W173" s="154"/>
      <c r="X173" s="154"/>
      <c r="Y173" s="154"/>
      <c r="Z173" s="154"/>
      <c r="AA173" s="154"/>
    </row>
    <row r="174" spans="1:27" s="278" customFormat="1" x14ac:dyDescent="0.25">
      <c r="A174" s="143"/>
      <c r="B174" s="144"/>
      <c r="C174" s="133"/>
      <c r="D174" s="133"/>
      <c r="E174" s="166"/>
      <c r="F174" s="275"/>
      <c r="G174" s="275"/>
      <c r="H174" s="275"/>
      <c r="I174" s="276"/>
      <c r="J174" s="276"/>
      <c r="K174" s="276"/>
      <c r="L174" s="276"/>
      <c r="M174" s="276"/>
      <c r="N174" s="277"/>
      <c r="O174" s="277"/>
      <c r="P174" s="277"/>
      <c r="Q174" s="277"/>
      <c r="S174" s="277"/>
      <c r="T174" s="277"/>
      <c r="V174" s="154"/>
      <c r="W174" s="154"/>
      <c r="X174" s="154"/>
      <c r="Y174" s="154"/>
      <c r="Z174" s="154"/>
      <c r="AA174" s="154"/>
    </row>
    <row r="175" spans="1:27" s="278" customFormat="1" x14ac:dyDescent="0.25">
      <c r="A175" s="143"/>
      <c r="B175" s="144"/>
      <c r="C175" s="133"/>
      <c r="D175" s="133"/>
      <c r="E175" s="166"/>
      <c r="F175" s="275"/>
      <c r="G175" s="275"/>
      <c r="H175" s="275"/>
      <c r="I175" s="276"/>
      <c r="J175" s="276"/>
      <c r="K175" s="276"/>
      <c r="L175" s="276"/>
      <c r="M175" s="276"/>
      <c r="N175" s="277"/>
      <c r="O175" s="277"/>
      <c r="P175" s="277"/>
      <c r="Q175" s="277"/>
      <c r="S175" s="277"/>
      <c r="T175" s="277"/>
      <c r="V175" s="154"/>
      <c r="W175" s="154"/>
      <c r="X175" s="154"/>
      <c r="Y175" s="154"/>
      <c r="Z175" s="154"/>
      <c r="AA175" s="154"/>
    </row>
    <row r="176" spans="1:27" s="278" customFormat="1" x14ac:dyDescent="0.25">
      <c r="A176" s="143"/>
      <c r="B176" s="144"/>
      <c r="C176" s="133"/>
      <c r="D176" s="133"/>
      <c r="E176" s="166"/>
      <c r="F176" s="275"/>
      <c r="G176" s="275"/>
      <c r="H176" s="275"/>
      <c r="I176" s="276"/>
      <c r="J176" s="276"/>
      <c r="K176" s="276"/>
      <c r="L176" s="276"/>
      <c r="M176" s="276"/>
      <c r="N176" s="277"/>
      <c r="O176" s="277"/>
      <c r="P176" s="277"/>
      <c r="Q176" s="277"/>
      <c r="S176" s="277"/>
      <c r="T176" s="277"/>
      <c r="V176" s="154"/>
      <c r="W176" s="154"/>
      <c r="X176" s="154"/>
      <c r="Y176" s="154"/>
      <c r="Z176" s="154"/>
      <c r="AA176" s="154"/>
    </row>
    <row r="177" spans="1:27" s="278" customFormat="1" x14ac:dyDescent="0.25">
      <c r="A177" s="143"/>
      <c r="B177" s="144"/>
      <c r="C177" s="133"/>
      <c r="D177" s="133"/>
      <c r="E177" s="166"/>
      <c r="F177" s="275"/>
      <c r="G177" s="275"/>
      <c r="H177" s="275"/>
      <c r="I177" s="276"/>
      <c r="J177" s="276"/>
      <c r="K177" s="276"/>
      <c r="L177" s="276"/>
      <c r="M177" s="276"/>
      <c r="N177" s="277"/>
      <c r="O177" s="277"/>
      <c r="P177" s="277"/>
      <c r="Q177" s="277"/>
      <c r="S177" s="277"/>
      <c r="T177" s="277"/>
      <c r="V177" s="154"/>
      <c r="W177" s="154"/>
      <c r="X177" s="154"/>
      <c r="Y177" s="154"/>
      <c r="Z177" s="154"/>
      <c r="AA177" s="154"/>
    </row>
    <row r="178" spans="1:27" s="278" customFormat="1" x14ac:dyDescent="0.25">
      <c r="A178" s="143"/>
      <c r="B178" s="144"/>
      <c r="C178" s="133"/>
      <c r="D178" s="133"/>
      <c r="E178" s="166"/>
      <c r="F178" s="275"/>
      <c r="G178" s="275"/>
      <c r="H178" s="275"/>
      <c r="I178" s="276"/>
      <c r="J178" s="276"/>
      <c r="K178" s="276"/>
      <c r="L178" s="276"/>
      <c r="M178" s="276"/>
      <c r="N178" s="277"/>
      <c r="O178" s="277"/>
      <c r="P178" s="277"/>
      <c r="Q178" s="277"/>
      <c r="S178" s="277"/>
      <c r="T178" s="277"/>
      <c r="V178" s="154"/>
      <c r="W178" s="154"/>
      <c r="X178" s="154"/>
      <c r="Y178" s="154"/>
      <c r="Z178" s="154"/>
      <c r="AA178" s="154"/>
    </row>
    <row r="179" spans="1:27" s="278" customFormat="1" x14ac:dyDescent="0.25">
      <c r="A179" s="143"/>
      <c r="B179" s="144"/>
      <c r="C179" s="133"/>
      <c r="D179" s="133"/>
      <c r="E179" s="166"/>
      <c r="F179" s="275"/>
      <c r="G179" s="275"/>
      <c r="H179" s="275"/>
      <c r="I179" s="276"/>
      <c r="J179" s="276"/>
      <c r="K179" s="276"/>
      <c r="L179" s="276"/>
      <c r="M179" s="276"/>
      <c r="N179" s="277"/>
      <c r="O179" s="277"/>
      <c r="P179" s="277"/>
      <c r="Q179" s="277"/>
      <c r="S179" s="277"/>
      <c r="T179" s="277"/>
      <c r="V179" s="154"/>
      <c r="W179" s="154"/>
      <c r="X179" s="154"/>
      <c r="Y179" s="154"/>
      <c r="Z179" s="154"/>
      <c r="AA179" s="154"/>
    </row>
    <row r="180" spans="1:27" s="278" customFormat="1" x14ac:dyDescent="0.25">
      <c r="A180" s="143"/>
      <c r="B180" s="144"/>
      <c r="C180" s="133"/>
      <c r="D180" s="133"/>
      <c r="E180" s="166"/>
      <c r="F180" s="275"/>
      <c r="G180" s="275"/>
      <c r="H180" s="275"/>
      <c r="I180" s="276"/>
      <c r="J180" s="276"/>
      <c r="K180" s="276"/>
      <c r="L180" s="276"/>
      <c r="M180" s="276"/>
      <c r="N180" s="277"/>
      <c r="O180" s="277"/>
      <c r="P180" s="277"/>
      <c r="Q180" s="277"/>
      <c r="S180" s="277"/>
      <c r="T180" s="277"/>
      <c r="V180" s="154"/>
      <c r="W180" s="154"/>
      <c r="X180" s="154"/>
      <c r="Y180" s="154"/>
      <c r="Z180" s="154"/>
      <c r="AA180" s="154"/>
    </row>
    <row r="181" spans="1:27" s="278" customFormat="1" x14ac:dyDescent="0.25">
      <c r="A181" s="143"/>
      <c r="B181" s="144"/>
      <c r="C181" s="133"/>
      <c r="D181" s="133"/>
      <c r="E181" s="166"/>
      <c r="F181" s="275"/>
      <c r="G181" s="275"/>
      <c r="H181" s="275"/>
      <c r="I181" s="276"/>
      <c r="J181" s="276"/>
      <c r="K181" s="276"/>
      <c r="L181" s="276"/>
      <c r="M181" s="276"/>
      <c r="N181" s="277"/>
      <c r="O181" s="277"/>
      <c r="P181" s="277"/>
      <c r="Q181" s="277"/>
      <c r="S181" s="277"/>
      <c r="T181" s="277"/>
      <c r="V181" s="154"/>
      <c r="W181" s="154"/>
      <c r="X181" s="154"/>
      <c r="Y181" s="154"/>
      <c r="Z181" s="154"/>
      <c r="AA181" s="154"/>
    </row>
    <row r="182" spans="1:27" s="278" customFormat="1" x14ac:dyDescent="0.25">
      <c r="A182" s="143"/>
      <c r="B182" s="144"/>
      <c r="C182" s="133"/>
      <c r="D182" s="133"/>
      <c r="E182" s="166"/>
      <c r="F182" s="275"/>
      <c r="G182" s="275"/>
      <c r="H182" s="275"/>
      <c r="I182" s="276"/>
      <c r="J182" s="276"/>
      <c r="K182" s="276"/>
      <c r="L182" s="276"/>
      <c r="M182" s="276"/>
      <c r="N182" s="277"/>
      <c r="O182" s="277"/>
      <c r="P182" s="277"/>
      <c r="Q182" s="277"/>
      <c r="S182" s="277"/>
      <c r="T182" s="277"/>
      <c r="V182" s="154"/>
      <c r="W182" s="154"/>
      <c r="X182" s="154"/>
      <c r="Y182" s="154"/>
      <c r="Z182" s="154"/>
      <c r="AA182" s="154"/>
    </row>
    <row r="183" spans="1:27" s="278" customFormat="1" x14ac:dyDescent="0.25">
      <c r="A183" s="143"/>
      <c r="B183" s="144"/>
      <c r="C183" s="133"/>
      <c r="D183" s="133"/>
      <c r="E183" s="166"/>
      <c r="F183" s="275"/>
      <c r="G183" s="275"/>
      <c r="H183" s="275"/>
      <c r="I183" s="276"/>
      <c r="J183" s="276"/>
      <c r="K183" s="276"/>
      <c r="L183" s="276"/>
      <c r="M183" s="276"/>
      <c r="N183" s="277"/>
      <c r="O183" s="277"/>
      <c r="P183" s="277"/>
      <c r="Q183" s="277"/>
      <c r="S183" s="277"/>
      <c r="T183" s="277"/>
      <c r="V183" s="154"/>
      <c r="W183" s="154"/>
      <c r="X183" s="154"/>
      <c r="Y183" s="154"/>
      <c r="Z183" s="154"/>
      <c r="AA183" s="154"/>
    </row>
    <row r="184" spans="1:27" s="278" customFormat="1" x14ac:dyDescent="0.25">
      <c r="A184" s="143"/>
      <c r="B184" s="144"/>
      <c r="C184" s="133"/>
      <c r="D184" s="133"/>
      <c r="E184" s="166"/>
      <c r="F184" s="275"/>
      <c r="G184" s="275"/>
      <c r="H184" s="275"/>
      <c r="I184" s="276"/>
      <c r="J184" s="276"/>
      <c r="K184" s="276"/>
      <c r="L184" s="276"/>
      <c r="M184" s="276"/>
      <c r="N184" s="277"/>
      <c r="O184" s="277"/>
      <c r="P184" s="277"/>
      <c r="Q184" s="277"/>
      <c r="S184" s="277"/>
      <c r="T184" s="277"/>
      <c r="V184" s="154"/>
      <c r="W184" s="154"/>
      <c r="X184" s="154"/>
      <c r="Y184" s="154"/>
      <c r="Z184" s="154"/>
      <c r="AA184" s="154"/>
    </row>
    <row r="185" spans="1:27" s="278" customFormat="1" x14ac:dyDescent="0.25">
      <c r="A185" s="143"/>
      <c r="B185" s="144"/>
      <c r="C185" s="133"/>
      <c r="D185" s="133"/>
      <c r="E185" s="166"/>
      <c r="F185" s="275"/>
      <c r="G185" s="275"/>
      <c r="H185" s="275"/>
      <c r="I185" s="276"/>
      <c r="J185" s="276"/>
      <c r="K185" s="276"/>
      <c r="L185" s="276"/>
      <c r="M185" s="276"/>
      <c r="N185" s="277"/>
      <c r="O185" s="277"/>
      <c r="P185" s="277"/>
      <c r="Q185" s="277"/>
      <c r="S185" s="277"/>
      <c r="T185" s="277"/>
      <c r="V185" s="154"/>
      <c r="W185" s="154"/>
      <c r="X185" s="154"/>
      <c r="Y185" s="154"/>
      <c r="Z185" s="154"/>
      <c r="AA185" s="154"/>
    </row>
    <row r="186" spans="1:27" s="278" customFormat="1" x14ac:dyDescent="0.25">
      <c r="A186" s="143"/>
      <c r="B186" s="144"/>
      <c r="C186" s="133"/>
      <c r="D186" s="133"/>
      <c r="E186" s="166"/>
      <c r="F186" s="275"/>
      <c r="G186" s="275"/>
      <c r="H186" s="275"/>
      <c r="I186" s="276"/>
      <c r="J186" s="276"/>
      <c r="K186" s="276"/>
      <c r="L186" s="276"/>
      <c r="M186" s="276"/>
      <c r="N186" s="277"/>
      <c r="O186" s="277"/>
      <c r="P186" s="277"/>
      <c r="Q186" s="277"/>
      <c r="S186" s="277"/>
      <c r="T186" s="277"/>
      <c r="V186" s="154"/>
      <c r="W186" s="154"/>
      <c r="X186" s="154"/>
      <c r="Y186" s="154"/>
      <c r="Z186" s="154"/>
      <c r="AA186" s="154"/>
    </row>
    <row r="187" spans="1:27" s="278" customFormat="1" x14ac:dyDescent="0.25">
      <c r="A187" s="143"/>
      <c r="B187" s="144"/>
      <c r="C187" s="133"/>
      <c r="D187" s="133"/>
      <c r="E187" s="166"/>
      <c r="F187" s="275"/>
      <c r="G187" s="275"/>
      <c r="H187" s="275"/>
      <c r="I187" s="276"/>
      <c r="J187" s="276"/>
      <c r="K187" s="276"/>
      <c r="L187" s="276"/>
      <c r="M187" s="276"/>
      <c r="N187" s="277"/>
      <c r="O187" s="277"/>
      <c r="P187" s="277"/>
      <c r="Q187" s="277"/>
      <c r="S187" s="277"/>
      <c r="T187" s="277"/>
      <c r="V187" s="154"/>
      <c r="W187" s="154"/>
      <c r="X187" s="154"/>
      <c r="Y187" s="154"/>
      <c r="Z187" s="154"/>
      <c r="AA187" s="154"/>
    </row>
    <row r="188" spans="1:27" s="278" customFormat="1" x14ac:dyDescent="0.25">
      <c r="A188" s="143"/>
      <c r="B188" s="144"/>
      <c r="C188" s="133"/>
      <c r="D188" s="133"/>
      <c r="E188" s="166"/>
      <c r="F188" s="275"/>
      <c r="G188" s="275"/>
      <c r="H188" s="275"/>
      <c r="I188" s="276"/>
      <c r="J188" s="276"/>
      <c r="K188" s="276"/>
      <c r="L188" s="276"/>
      <c r="M188" s="276"/>
      <c r="N188" s="277"/>
      <c r="O188" s="277"/>
      <c r="P188" s="277"/>
      <c r="Q188" s="277"/>
      <c r="S188" s="277"/>
      <c r="T188" s="277"/>
      <c r="V188" s="154"/>
      <c r="W188" s="154"/>
      <c r="X188" s="154"/>
      <c r="Y188" s="154"/>
      <c r="Z188" s="154"/>
      <c r="AA188" s="154"/>
    </row>
    <row r="189" spans="1:27" s="278" customFormat="1" x14ac:dyDescent="0.25">
      <c r="A189" s="143"/>
      <c r="B189" s="144"/>
      <c r="C189" s="133"/>
      <c r="D189" s="133"/>
      <c r="E189" s="166"/>
      <c r="F189" s="275"/>
      <c r="G189" s="275"/>
      <c r="H189" s="275"/>
      <c r="I189" s="276"/>
      <c r="J189" s="276"/>
      <c r="K189" s="276"/>
      <c r="L189" s="276"/>
      <c r="M189" s="276"/>
      <c r="N189" s="277"/>
      <c r="O189" s="277"/>
      <c r="P189" s="277"/>
      <c r="Q189" s="277"/>
      <c r="S189" s="277"/>
      <c r="T189" s="277"/>
      <c r="V189" s="154"/>
      <c r="W189" s="154"/>
      <c r="X189" s="154"/>
      <c r="Y189" s="154"/>
      <c r="Z189" s="154"/>
      <c r="AA189" s="154"/>
    </row>
    <row r="190" spans="1:27" s="278" customFormat="1" x14ac:dyDescent="0.25">
      <c r="A190" s="143"/>
      <c r="B190" s="144"/>
      <c r="C190" s="133"/>
      <c r="D190" s="133"/>
      <c r="E190" s="166"/>
      <c r="F190" s="275"/>
      <c r="G190" s="275"/>
      <c r="H190" s="275"/>
      <c r="I190" s="276"/>
      <c r="J190" s="276"/>
      <c r="K190" s="276"/>
      <c r="L190" s="276"/>
      <c r="M190" s="276"/>
      <c r="N190" s="277"/>
      <c r="O190" s="277"/>
      <c r="P190" s="277"/>
      <c r="Q190" s="277"/>
      <c r="S190" s="277"/>
      <c r="T190" s="277"/>
      <c r="V190" s="154"/>
      <c r="W190" s="154"/>
      <c r="X190" s="154"/>
      <c r="Y190" s="154"/>
      <c r="Z190" s="154"/>
      <c r="AA190" s="154"/>
    </row>
    <row r="191" spans="1:27" s="278" customFormat="1" x14ac:dyDescent="0.25">
      <c r="A191" s="143"/>
      <c r="B191" s="144"/>
      <c r="C191" s="133"/>
      <c r="D191" s="133"/>
      <c r="E191" s="166"/>
      <c r="F191" s="275"/>
      <c r="G191" s="275"/>
      <c r="H191" s="275"/>
      <c r="I191" s="276"/>
      <c r="J191" s="276"/>
      <c r="K191" s="276"/>
      <c r="L191" s="276"/>
      <c r="M191" s="276"/>
      <c r="N191" s="277"/>
      <c r="O191" s="277"/>
      <c r="P191" s="277"/>
      <c r="Q191" s="277"/>
      <c r="S191" s="277"/>
      <c r="T191" s="277"/>
      <c r="V191" s="154"/>
      <c r="W191" s="154"/>
      <c r="X191" s="154"/>
      <c r="Y191" s="154"/>
      <c r="Z191" s="154"/>
      <c r="AA191" s="154"/>
    </row>
    <row r="192" spans="1:27" s="278" customFormat="1" x14ac:dyDescent="0.25">
      <c r="A192" s="143"/>
      <c r="B192" s="144"/>
      <c r="C192" s="133"/>
      <c r="D192" s="133"/>
      <c r="E192" s="166"/>
      <c r="F192" s="275"/>
      <c r="G192" s="275"/>
      <c r="H192" s="275"/>
      <c r="I192" s="276"/>
      <c r="J192" s="276"/>
      <c r="K192" s="276"/>
      <c r="L192" s="276"/>
      <c r="M192" s="276"/>
      <c r="N192" s="277"/>
      <c r="O192" s="277"/>
      <c r="P192" s="277"/>
      <c r="Q192" s="277"/>
      <c r="S192" s="277"/>
      <c r="T192" s="277"/>
      <c r="V192" s="154"/>
      <c r="W192" s="154"/>
      <c r="X192" s="154"/>
      <c r="Y192" s="154"/>
      <c r="Z192" s="154"/>
      <c r="AA192" s="154"/>
    </row>
    <row r="193" spans="1:27" s="278" customFormat="1" x14ac:dyDescent="0.25">
      <c r="A193" s="143"/>
      <c r="B193" s="144"/>
      <c r="C193" s="133"/>
      <c r="D193" s="133"/>
      <c r="E193" s="166"/>
      <c r="F193" s="275"/>
      <c r="G193" s="275"/>
      <c r="H193" s="275"/>
      <c r="I193" s="276"/>
      <c r="J193" s="276"/>
      <c r="K193" s="276"/>
      <c r="L193" s="276"/>
      <c r="M193" s="276"/>
      <c r="N193" s="277"/>
      <c r="O193" s="277"/>
      <c r="P193" s="277"/>
      <c r="Q193" s="277"/>
      <c r="S193" s="277"/>
      <c r="T193" s="277"/>
      <c r="V193" s="154"/>
      <c r="W193" s="154"/>
      <c r="X193" s="154"/>
      <c r="Y193" s="154"/>
      <c r="Z193" s="154"/>
      <c r="AA193" s="154"/>
    </row>
    <row r="194" spans="1:27" s="278" customFormat="1" x14ac:dyDescent="0.25">
      <c r="A194" s="143"/>
      <c r="B194" s="144"/>
      <c r="C194" s="133"/>
      <c r="D194" s="133"/>
      <c r="E194" s="166"/>
      <c r="F194" s="275"/>
      <c r="G194" s="275"/>
      <c r="H194" s="275"/>
      <c r="I194" s="276"/>
      <c r="J194" s="276"/>
      <c r="K194" s="276"/>
      <c r="L194" s="276"/>
      <c r="M194" s="276"/>
      <c r="N194" s="277"/>
      <c r="O194" s="277"/>
      <c r="P194" s="277"/>
      <c r="Q194" s="277"/>
      <c r="S194" s="277"/>
      <c r="T194" s="277"/>
      <c r="V194" s="154"/>
      <c r="W194" s="154"/>
      <c r="X194" s="154"/>
      <c r="Y194" s="154"/>
      <c r="Z194" s="154"/>
      <c r="AA194" s="154"/>
    </row>
    <row r="195" spans="1:27" s="278" customFormat="1" x14ac:dyDescent="0.25">
      <c r="A195" s="143"/>
      <c r="B195" s="144"/>
      <c r="C195" s="133"/>
      <c r="D195" s="133"/>
      <c r="E195" s="166"/>
      <c r="F195" s="275"/>
      <c r="G195" s="275"/>
      <c r="H195" s="275"/>
      <c r="I195" s="276"/>
      <c r="J195" s="276"/>
      <c r="K195" s="276"/>
      <c r="L195" s="276"/>
      <c r="M195" s="276"/>
      <c r="N195" s="277"/>
      <c r="O195" s="277"/>
      <c r="P195" s="277"/>
      <c r="Q195" s="277"/>
      <c r="S195" s="277"/>
      <c r="T195" s="277"/>
      <c r="V195" s="154"/>
      <c r="W195" s="154"/>
      <c r="X195" s="154"/>
      <c r="Y195" s="154"/>
      <c r="Z195" s="154"/>
      <c r="AA195" s="154"/>
    </row>
    <row r="196" spans="1:27" s="278" customFormat="1" x14ac:dyDescent="0.25">
      <c r="A196" s="143"/>
      <c r="B196" s="144"/>
      <c r="C196" s="133"/>
      <c r="D196" s="133"/>
      <c r="E196" s="166"/>
      <c r="F196" s="275"/>
      <c r="G196" s="275"/>
      <c r="H196" s="275"/>
      <c r="I196" s="276"/>
      <c r="J196" s="276"/>
      <c r="K196" s="276"/>
      <c r="L196" s="276"/>
      <c r="M196" s="276"/>
      <c r="N196" s="277"/>
      <c r="O196" s="277"/>
      <c r="P196" s="277"/>
      <c r="Q196" s="277"/>
      <c r="S196" s="277"/>
      <c r="T196" s="277"/>
      <c r="V196" s="154"/>
      <c r="W196" s="154"/>
      <c r="X196" s="154"/>
      <c r="Y196" s="154"/>
      <c r="Z196" s="154"/>
      <c r="AA196" s="154"/>
    </row>
    <row r="197" spans="1:27" s="278" customFormat="1" x14ac:dyDescent="0.25">
      <c r="A197" s="143"/>
      <c r="B197" s="144"/>
      <c r="C197" s="133"/>
      <c r="D197" s="133"/>
      <c r="E197" s="166"/>
      <c r="F197" s="275"/>
      <c r="G197" s="275"/>
      <c r="H197" s="275"/>
      <c r="I197" s="276"/>
      <c r="J197" s="276"/>
      <c r="K197" s="276"/>
      <c r="L197" s="276"/>
      <c r="M197" s="276"/>
      <c r="N197" s="277"/>
      <c r="O197" s="277"/>
      <c r="P197" s="277"/>
      <c r="Q197" s="277"/>
      <c r="S197" s="277"/>
      <c r="T197" s="277"/>
      <c r="V197" s="154"/>
      <c r="W197" s="154"/>
      <c r="X197" s="154"/>
      <c r="Y197" s="154"/>
      <c r="Z197" s="154"/>
      <c r="AA197" s="154"/>
    </row>
    <row r="198" spans="1:27" s="278" customFormat="1" x14ac:dyDescent="0.25">
      <c r="A198" s="143"/>
      <c r="B198" s="144"/>
      <c r="C198" s="133"/>
      <c r="D198" s="133"/>
      <c r="E198" s="166"/>
      <c r="F198" s="275"/>
      <c r="G198" s="275"/>
      <c r="H198" s="275"/>
      <c r="I198" s="276"/>
      <c r="J198" s="276"/>
      <c r="K198" s="276"/>
      <c r="L198" s="276"/>
      <c r="M198" s="276"/>
      <c r="N198" s="277"/>
      <c r="O198" s="277"/>
      <c r="P198" s="277"/>
      <c r="Q198" s="277"/>
      <c r="S198" s="277"/>
      <c r="T198" s="277"/>
      <c r="V198" s="154"/>
      <c r="W198" s="154"/>
      <c r="X198" s="154"/>
      <c r="Y198" s="154"/>
      <c r="Z198" s="154"/>
      <c r="AA198" s="154"/>
    </row>
    <row r="199" spans="1:27" s="278" customFormat="1" x14ac:dyDescent="0.25">
      <c r="A199" s="143"/>
      <c r="B199" s="144"/>
      <c r="C199" s="133"/>
      <c r="D199" s="133"/>
      <c r="E199" s="166"/>
      <c r="F199" s="275"/>
      <c r="G199" s="275"/>
      <c r="H199" s="275"/>
      <c r="I199" s="276"/>
      <c r="J199" s="276"/>
      <c r="K199" s="276"/>
      <c r="L199" s="276"/>
      <c r="M199" s="276"/>
      <c r="N199" s="277"/>
      <c r="O199" s="277"/>
      <c r="P199" s="277"/>
      <c r="Q199" s="277"/>
      <c r="S199" s="277"/>
      <c r="T199" s="277"/>
      <c r="V199" s="154"/>
      <c r="W199" s="154"/>
      <c r="X199" s="154"/>
      <c r="Y199" s="154"/>
      <c r="Z199" s="154"/>
      <c r="AA199" s="154"/>
    </row>
    <row r="200" spans="1:27" s="278" customFormat="1" x14ac:dyDescent="0.25">
      <c r="A200" s="143"/>
      <c r="B200" s="144"/>
      <c r="C200" s="133"/>
      <c r="D200" s="133"/>
      <c r="E200" s="166"/>
      <c r="F200" s="275"/>
      <c r="G200" s="275"/>
      <c r="H200" s="275"/>
      <c r="I200" s="276"/>
      <c r="J200" s="276"/>
      <c r="K200" s="276"/>
      <c r="L200" s="276"/>
      <c r="M200" s="276"/>
      <c r="N200" s="277"/>
      <c r="O200" s="277"/>
      <c r="P200" s="277"/>
      <c r="Q200" s="277"/>
      <c r="S200" s="277"/>
      <c r="T200" s="277"/>
      <c r="V200" s="154"/>
      <c r="W200" s="154"/>
      <c r="X200" s="154"/>
      <c r="Y200" s="154"/>
      <c r="Z200" s="154"/>
      <c r="AA200" s="154"/>
    </row>
    <row r="201" spans="1:27" s="278" customFormat="1" x14ac:dyDescent="0.25">
      <c r="A201" s="143"/>
      <c r="B201" s="144"/>
      <c r="C201" s="133"/>
      <c r="D201" s="133"/>
      <c r="E201" s="166"/>
      <c r="F201" s="275"/>
      <c r="G201" s="275"/>
      <c r="H201" s="275"/>
      <c r="I201" s="276"/>
      <c r="J201" s="276"/>
      <c r="K201" s="276"/>
      <c r="L201" s="276"/>
      <c r="M201" s="276"/>
      <c r="N201" s="277"/>
      <c r="O201" s="277"/>
      <c r="P201" s="277"/>
      <c r="Q201" s="277"/>
      <c r="S201" s="277"/>
      <c r="T201" s="277"/>
      <c r="V201" s="154"/>
      <c r="W201" s="154"/>
      <c r="X201" s="154"/>
      <c r="Y201" s="154"/>
      <c r="Z201" s="154"/>
      <c r="AA201" s="154"/>
    </row>
    <row r="202" spans="1:27" s="278" customFormat="1" x14ac:dyDescent="0.25">
      <c r="A202" s="143"/>
      <c r="B202" s="144"/>
      <c r="C202" s="133"/>
      <c r="D202" s="133"/>
      <c r="E202" s="166"/>
      <c r="F202" s="275"/>
      <c r="G202" s="275"/>
      <c r="H202" s="275"/>
      <c r="I202" s="276"/>
      <c r="J202" s="276"/>
      <c r="K202" s="276"/>
      <c r="L202" s="276"/>
      <c r="M202" s="276"/>
      <c r="N202" s="277"/>
      <c r="O202" s="277"/>
      <c r="P202" s="277"/>
      <c r="Q202" s="277"/>
      <c r="S202" s="277"/>
      <c r="T202" s="277"/>
      <c r="V202" s="154"/>
      <c r="W202" s="154"/>
      <c r="X202" s="154"/>
      <c r="Y202" s="154"/>
      <c r="Z202" s="154"/>
      <c r="AA202" s="154"/>
    </row>
    <row r="203" spans="1:27" s="278" customFormat="1" x14ac:dyDescent="0.25">
      <c r="A203" s="143"/>
      <c r="B203" s="144"/>
      <c r="C203" s="133"/>
      <c r="D203" s="133"/>
      <c r="E203" s="166"/>
      <c r="F203" s="275"/>
      <c r="G203" s="275"/>
      <c r="H203" s="275"/>
      <c r="I203" s="276"/>
      <c r="J203" s="276"/>
      <c r="K203" s="276"/>
      <c r="L203" s="276"/>
      <c r="M203" s="276"/>
      <c r="N203" s="277"/>
      <c r="O203" s="277"/>
      <c r="P203" s="277"/>
      <c r="Q203" s="277"/>
      <c r="S203" s="277"/>
      <c r="T203" s="277"/>
      <c r="V203" s="154"/>
      <c r="W203" s="154"/>
      <c r="X203" s="154"/>
      <c r="Y203" s="154"/>
      <c r="Z203" s="154"/>
      <c r="AA203" s="154"/>
    </row>
    <row r="204" spans="1:27" s="278" customFormat="1" x14ac:dyDescent="0.25">
      <c r="A204" s="143"/>
      <c r="B204" s="144"/>
      <c r="C204" s="133"/>
      <c r="D204" s="133"/>
      <c r="E204" s="166"/>
      <c r="F204" s="275"/>
      <c r="G204" s="275"/>
      <c r="H204" s="275"/>
      <c r="I204" s="276"/>
      <c r="J204" s="276"/>
      <c r="K204" s="276"/>
      <c r="L204" s="276"/>
      <c r="M204" s="276"/>
      <c r="N204" s="277"/>
      <c r="O204" s="277"/>
      <c r="P204" s="277"/>
      <c r="Q204" s="277"/>
      <c r="S204" s="277"/>
      <c r="T204" s="277"/>
      <c r="V204" s="154"/>
      <c r="W204" s="154"/>
      <c r="X204" s="154"/>
      <c r="Y204" s="154"/>
      <c r="Z204" s="154"/>
      <c r="AA204" s="154"/>
    </row>
    <row r="205" spans="1:27" s="278" customFormat="1" x14ac:dyDescent="0.25">
      <c r="A205" s="143"/>
      <c r="B205" s="144"/>
      <c r="C205" s="133"/>
      <c r="D205" s="133"/>
      <c r="E205" s="166"/>
      <c r="F205" s="275"/>
      <c r="G205" s="275"/>
      <c r="H205" s="275"/>
      <c r="I205" s="276"/>
      <c r="J205" s="276"/>
      <c r="K205" s="276"/>
      <c r="L205" s="276"/>
      <c r="M205" s="276"/>
      <c r="N205" s="277"/>
      <c r="O205" s="277"/>
      <c r="P205" s="277"/>
      <c r="Q205" s="277"/>
      <c r="S205" s="277"/>
      <c r="T205" s="277"/>
      <c r="V205" s="154"/>
      <c r="W205" s="154"/>
      <c r="X205" s="154"/>
      <c r="Y205" s="154"/>
      <c r="Z205" s="154"/>
      <c r="AA205" s="154"/>
    </row>
    <row r="206" spans="1:27" s="278" customFormat="1" x14ac:dyDescent="0.25">
      <c r="A206" s="143"/>
      <c r="B206" s="144"/>
      <c r="C206" s="133"/>
      <c r="D206" s="133"/>
      <c r="E206" s="166"/>
      <c r="F206" s="275"/>
      <c r="G206" s="275"/>
      <c r="H206" s="275"/>
      <c r="I206" s="276"/>
      <c r="J206" s="276"/>
      <c r="K206" s="276"/>
      <c r="L206" s="276"/>
      <c r="M206" s="276"/>
      <c r="N206" s="277"/>
      <c r="O206" s="277"/>
      <c r="P206" s="277"/>
      <c r="Q206" s="277"/>
      <c r="S206" s="277"/>
      <c r="T206" s="277"/>
      <c r="V206" s="154"/>
      <c r="W206" s="154"/>
      <c r="X206" s="154"/>
      <c r="Y206" s="154"/>
      <c r="Z206" s="154"/>
      <c r="AA206" s="154"/>
    </row>
    <row r="207" spans="1:27" s="278" customFormat="1" x14ac:dyDescent="0.25">
      <c r="A207" s="143"/>
      <c r="B207" s="144"/>
      <c r="C207" s="133"/>
      <c r="D207" s="133"/>
      <c r="E207" s="166"/>
      <c r="F207" s="275"/>
      <c r="G207" s="275"/>
      <c r="H207" s="275"/>
      <c r="I207" s="276"/>
      <c r="J207" s="276"/>
      <c r="K207" s="276"/>
      <c r="L207" s="276"/>
      <c r="M207" s="276"/>
      <c r="N207" s="277"/>
      <c r="O207" s="277"/>
      <c r="P207" s="277"/>
      <c r="Q207" s="277"/>
      <c r="S207" s="277"/>
      <c r="T207" s="277"/>
      <c r="V207" s="154"/>
      <c r="W207" s="154"/>
      <c r="X207" s="154"/>
      <c r="Y207" s="154"/>
      <c r="Z207" s="154"/>
      <c r="AA207" s="154"/>
    </row>
    <row r="208" spans="1:27" s="278" customFormat="1" x14ac:dyDescent="0.25">
      <c r="A208" s="143"/>
      <c r="B208" s="144"/>
      <c r="C208" s="133"/>
      <c r="D208" s="133"/>
      <c r="E208" s="166"/>
      <c r="F208" s="275"/>
      <c r="G208" s="275"/>
      <c r="H208" s="275"/>
      <c r="I208" s="276"/>
      <c r="J208" s="276"/>
      <c r="K208" s="276"/>
      <c r="L208" s="276"/>
      <c r="M208" s="276"/>
      <c r="N208" s="277"/>
      <c r="O208" s="277"/>
      <c r="P208" s="277"/>
      <c r="Q208" s="277"/>
      <c r="S208" s="277"/>
      <c r="T208" s="277"/>
      <c r="V208" s="154"/>
      <c r="W208" s="154"/>
      <c r="X208" s="154"/>
      <c r="Y208" s="154"/>
      <c r="Z208" s="154"/>
      <c r="AA208" s="154"/>
    </row>
    <row r="209" spans="1:27" s="278" customFormat="1" x14ac:dyDescent="0.25">
      <c r="A209" s="143"/>
      <c r="B209" s="144"/>
      <c r="C209" s="133"/>
      <c r="D209" s="133"/>
      <c r="E209" s="166"/>
      <c r="F209" s="275"/>
      <c r="G209" s="275"/>
      <c r="H209" s="275"/>
      <c r="I209" s="276"/>
      <c r="J209" s="276"/>
      <c r="K209" s="276"/>
      <c r="L209" s="276"/>
      <c r="M209" s="276"/>
      <c r="N209" s="277"/>
      <c r="O209" s="277"/>
      <c r="P209" s="277"/>
      <c r="Q209" s="277"/>
      <c r="S209" s="277"/>
      <c r="T209" s="277"/>
      <c r="V209" s="154"/>
      <c r="W209" s="154"/>
      <c r="X209" s="154"/>
      <c r="Y209" s="154"/>
      <c r="Z209" s="154"/>
      <c r="AA209" s="154"/>
    </row>
    <row r="210" spans="1:27" s="278" customFormat="1" x14ac:dyDescent="0.25">
      <c r="A210" s="143"/>
      <c r="B210" s="144"/>
      <c r="C210" s="133"/>
      <c r="D210" s="133"/>
      <c r="E210" s="166"/>
      <c r="F210" s="275"/>
      <c r="G210" s="275"/>
      <c r="H210" s="275"/>
      <c r="I210" s="276"/>
      <c r="J210" s="276"/>
      <c r="K210" s="276"/>
      <c r="L210" s="276"/>
      <c r="M210" s="276"/>
      <c r="N210" s="277"/>
      <c r="O210" s="277"/>
      <c r="P210" s="277"/>
      <c r="Q210" s="277"/>
      <c r="S210" s="277"/>
      <c r="T210" s="277"/>
      <c r="V210" s="154"/>
      <c r="W210" s="154"/>
      <c r="X210" s="154"/>
      <c r="Y210" s="154"/>
      <c r="Z210" s="154"/>
      <c r="AA210" s="154"/>
    </row>
    <row r="211" spans="1:27" s="278" customFormat="1" x14ac:dyDescent="0.25">
      <c r="A211" s="143"/>
      <c r="B211" s="144"/>
      <c r="C211" s="133"/>
      <c r="D211" s="133"/>
      <c r="E211" s="166"/>
      <c r="F211" s="275"/>
      <c r="G211" s="275"/>
      <c r="H211" s="275"/>
      <c r="I211" s="276"/>
      <c r="J211" s="276"/>
      <c r="K211" s="276"/>
      <c r="L211" s="276"/>
      <c r="M211" s="276"/>
      <c r="N211" s="277"/>
      <c r="O211" s="277"/>
      <c r="P211" s="277"/>
      <c r="Q211" s="277"/>
      <c r="S211" s="277"/>
      <c r="T211" s="277"/>
      <c r="V211" s="154"/>
      <c r="W211" s="154"/>
      <c r="X211" s="154"/>
      <c r="Y211" s="154"/>
      <c r="Z211" s="154"/>
      <c r="AA211" s="154"/>
    </row>
    <row r="212" spans="1:27" s="278" customFormat="1" x14ac:dyDescent="0.25">
      <c r="A212" s="143"/>
      <c r="B212" s="144"/>
      <c r="C212" s="133"/>
      <c r="D212" s="133"/>
      <c r="E212" s="166"/>
      <c r="F212" s="275"/>
      <c r="G212" s="275"/>
      <c r="H212" s="275"/>
      <c r="I212" s="276"/>
      <c r="J212" s="276"/>
      <c r="K212" s="276"/>
      <c r="L212" s="276"/>
      <c r="M212" s="276"/>
      <c r="N212" s="277"/>
      <c r="O212" s="277"/>
      <c r="P212" s="277"/>
      <c r="Q212" s="277"/>
      <c r="S212" s="277"/>
      <c r="T212" s="277"/>
      <c r="V212" s="154"/>
      <c r="W212" s="154"/>
      <c r="X212" s="154"/>
      <c r="Y212" s="154"/>
      <c r="Z212" s="154"/>
      <c r="AA212" s="154"/>
    </row>
    <row r="213" spans="1:27" s="278" customFormat="1" x14ac:dyDescent="0.25">
      <c r="A213" s="143"/>
      <c r="B213" s="144"/>
      <c r="C213" s="133"/>
      <c r="D213" s="133"/>
      <c r="E213" s="166"/>
      <c r="F213" s="275"/>
      <c r="G213" s="275"/>
      <c r="H213" s="275"/>
      <c r="I213" s="276"/>
      <c r="J213" s="276"/>
      <c r="K213" s="276"/>
      <c r="L213" s="276"/>
      <c r="M213" s="276"/>
      <c r="N213" s="277"/>
      <c r="O213" s="277"/>
      <c r="P213" s="277"/>
      <c r="Q213" s="277"/>
      <c r="S213" s="277"/>
      <c r="T213" s="277"/>
      <c r="V213" s="154"/>
      <c r="W213" s="154"/>
      <c r="X213" s="154"/>
      <c r="Y213" s="154"/>
      <c r="Z213" s="154"/>
      <c r="AA213" s="154"/>
    </row>
    <row r="214" spans="1:27" s="278" customFormat="1" x14ac:dyDescent="0.25">
      <c r="A214" s="143"/>
      <c r="B214" s="144"/>
      <c r="C214" s="133"/>
      <c r="D214" s="133"/>
      <c r="E214" s="166"/>
      <c r="F214" s="275"/>
      <c r="G214" s="275"/>
      <c r="H214" s="275"/>
      <c r="I214" s="276"/>
      <c r="J214" s="276"/>
      <c r="K214" s="276"/>
      <c r="L214" s="276"/>
      <c r="M214" s="276"/>
      <c r="N214" s="277"/>
      <c r="O214" s="277"/>
      <c r="P214" s="277"/>
      <c r="Q214" s="277"/>
      <c r="S214" s="277"/>
      <c r="T214" s="277"/>
      <c r="V214" s="154"/>
      <c r="W214" s="154"/>
      <c r="X214" s="154"/>
      <c r="Y214" s="154"/>
      <c r="Z214" s="154"/>
      <c r="AA214" s="154"/>
    </row>
    <row r="215" spans="1:27" s="278" customFormat="1" x14ac:dyDescent="0.25">
      <c r="A215" s="143"/>
      <c r="B215" s="144"/>
      <c r="C215" s="133"/>
      <c r="D215" s="133"/>
      <c r="E215" s="166"/>
      <c r="F215" s="275"/>
      <c r="G215" s="275"/>
      <c r="H215" s="275"/>
      <c r="I215" s="276"/>
      <c r="J215" s="276"/>
      <c r="K215" s="276"/>
      <c r="L215" s="276"/>
      <c r="M215" s="276"/>
      <c r="N215" s="277"/>
      <c r="O215" s="277"/>
      <c r="P215" s="277"/>
      <c r="Q215" s="277"/>
      <c r="S215" s="277"/>
      <c r="T215" s="277"/>
      <c r="V215" s="154"/>
      <c r="W215" s="154"/>
      <c r="X215" s="154"/>
      <c r="Y215" s="154"/>
      <c r="Z215" s="154"/>
      <c r="AA215" s="154"/>
    </row>
    <row r="216" spans="1:27" s="278" customFormat="1" x14ac:dyDescent="0.25">
      <c r="A216" s="143"/>
      <c r="B216" s="144"/>
      <c r="C216" s="133"/>
      <c r="D216" s="133"/>
      <c r="E216" s="166"/>
      <c r="F216" s="275"/>
      <c r="G216" s="275"/>
      <c r="H216" s="275"/>
      <c r="I216" s="276"/>
      <c r="J216" s="276"/>
      <c r="K216" s="276"/>
      <c r="L216" s="276"/>
      <c r="M216" s="276"/>
      <c r="N216" s="277"/>
      <c r="O216" s="277"/>
      <c r="P216" s="277"/>
      <c r="Q216" s="277"/>
      <c r="S216" s="277"/>
      <c r="T216" s="277"/>
      <c r="V216" s="154"/>
      <c r="W216" s="154"/>
      <c r="X216" s="154"/>
      <c r="Y216" s="154"/>
      <c r="Z216" s="154"/>
      <c r="AA216" s="154"/>
    </row>
    <row r="217" spans="1:27" s="278" customFormat="1" x14ac:dyDescent="0.25">
      <c r="A217" s="143"/>
      <c r="B217" s="144"/>
      <c r="C217" s="133"/>
      <c r="D217" s="133"/>
      <c r="E217" s="166"/>
      <c r="F217" s="275"/>
      <c r="G217" s="275"/>
      <c r="H217" s="275"/>
      <c r="I217" s="276"/>
      <c r="J217" s="276"/>
      <c r="K217" s="276"/>
      <c r="L217" s="276"/>
      <c r="M217" s="276"/>
      <c r="N217" s="277"/>
      <c r="O217" s="277"/>
      <c r="P217" s="277"/>
      <c r="Q217" s="277"/>
      <c r="S217" s="277"/>
      <c r="T217" s="277"/>
      <c r="V217" s="154"/>
      <c r="W217" s="154"/>
      <c r="X217" s="154"/>
      <c r="Y217" s="154"/>
      <c r="Z217" s="154"/>
      <c r="AA217" s="154"/>
    </row>
    <row r="218" spans="1:27" s="278" customFormat="1" x14ac:dyDescent="0.25">
      <c r="A218" s="143"/>
      <c r="B218" s="144"/>
      <c r="C218" s="133"/>
      <c r="D218" s="133"/>
      <c r="E218" s="166"/>
      <c r="F218" s="275"/>
      <c r="G218" s="275"/>
      <c r="H218" s="275"/>
      <c r="I218" s="276"/>
      <c r="J218" s="276"/>
      <c r="K218" s="276"/>
      <c r="L218" s="276"/>
      <c r="M218" s="276"/>
      <c r="N218" s="277"/>
      <c r="O218" s="277"/>
      <c r="P218" s="277"/>
      <c r="Q218" s="277"/>
      <c r="S218" s="277"/>
      <c r="T218" s="277"/>
      <c r="V218" s="154"/>
      <c r="W218" s="154"/>
      <c r="X218" s="154"/>
      <c r="Y218" s="154"/>
      <c r="Z218" s="154"/>
      <c r="AA218" s="154"/>
    </row>
    <row r="219" spans="1:27" s="278" customFormat="1" x14ac:dyDescent="0.25">
      <c r="A219" s="143"/>
      <c r="B219" s="144"/>
      <c r="C219" s="133"/>
      <c r="D219" s="133"/>
      <c r="E219" s="166"/>
      <c r="F219" s="275"/>
      <c r="G219" s="275"/>
      <c r="H219" s="275"/>
      <c r="I219" s="276"/>
      <c r="J219" s="276"/>
      <c r="K219" s="276"/>
      <c r="L219" s="276"/>
      <c r="M219" s="276"/>
      <c r="N219" s="277"/>
      <c r="O219" s="277"/>
      <c r="P219" s="277"/>
      <c r="Q219" s="277"/>
      <c r="S219" s="277"/>
      <c r="T219" s="277"/>
      <c r="V219" s="154"/>
      <c r="W219" s="154"/>
      <c r="X219" s="154"/>
      <c r="Y219" s="154"/>
      <c r="Z219" s="154"/>
      <c r="AA219" s="154"/>
    </row>
    <row r="220" spans="1:27" s="278" customFormat="1" x14ac:dyDescent="0.25">
      <c r="A220" s="143"/>
      <c r="B220" s="144"/>
      <c r="C220" s="133"/>
      <c r="D220" s="133"/>
      <c r="E220" s="166"/>
      <c r="F220" s="275"/>
      <c r="G220" s="275"/>
      <c r="H220" s="275"/>
      <c r="I220" s="276"/>
      <c r="J220" s="276"/>
      <c r="K220" s="276"/>
      <c r="L220" s="276"/>
      <c r="M220" s="276"/>
      <c r="N220" s="277"/>
      <c r="O220" s="277"/>
      <c r="P220" s="277"/>
      <c r="Q220" s="277"/>
      <c r="S220" s="277"/>
      <c r="T220" s="277"/>
      <c r="V220" s="154"/>
      <c r="W220" s="154"/>
      <c r="X220" s="154"/>
      <c r="Y220" s="154"/>
      <c r="Z220" s="154"/>
      <c r="AA220" s="154"/>
    </row>
    <row r="221" spans="1:27" s="278" customFormat="1" x14ac:dyDescent="0.25">
      <c r="A221" s="143"/>
      <c r="B221" s="144"/>
      <c r="C221" s="133"/>
      <c r="D221" s="133"/>
      <c r="E221" s="166"/>
      <c r="F221" s="275"/>
      <c r="G221" s="275"/>
      <c r="H221" s="275"/>
      <c r="I221" s="276"/>
      <c r="J221" s="276"/>
      <c r="K221" s="276"/>
      <c r="L221" s="276"/>
      <c r="M221" s="276"/>
      <c r="N221" s="277"/>
      <c r="O221" s="277"/>
      <c r="P221" s="277"/>
      <c r="Q221" s="277"/>
      <c r="S221" s="277"/>
      <c r="T221" s="277"/>
      <c r="V221" s="154"/>
      <c r="W221" s="154"/>
      <c r="X221" s="154"/>
      <c r="Y221" s="154"/>
      <c r="Z221" s="154"/>
      <c r="AA221" s="154"/>
    </row>
    <row r="222" spans="1:27" s="278" customFormat="1" x14ac:dyDescent="0.25">
      <c r="A222" s="143"/>
      <c r="B222" s="144"/>
      <c r="C222" s="133"/>
      <c r="D222" s="133"/>
      <c r="E222" s="166"/>
      <c r="F222" s="275"/>
      <c r="G222" s="275"/>
      <c r="H222" s="275"/>
      <c r="I222" s="276"/>
      <c r="J222" s="276"/>
      <c r="K222" s="276"/>
      <c r="L222" s="276"/>
      <c r="M222" s="276"/>
      <c r="N222" s="277"/>
      <c r="O222" s="277"/>
      <c r="P222" s="277"/>
      <c r="Q222" s="277"/>
      <c r="S222" s="277"/>
      <c r="T222" s="277"/>
      <c r="V222" s="154"/>
      <c r="W222" s="154"/>
      <c r="X222" s="154"/>
      <c r="Y222" s="154"/>
      <c r="Z222" s="154"/>
      <c r="AA222" s="154"/>
    </row>
    <row r="223" spans="1:27" s="278" customFormat="1" x14ac:dyDescent="0.25">
      <c r="A223" s="143"/>
      <c r="B223" s="144"/>
      <c r="C223" s="133"/>
      <c r="D223" s="133"/>
      <c r="E223" s="166"/>
      <c r="F223" s="275"/>
      <c r="G223" s="275"/>
      <c r="H223" s="275"/>
      <c r="I223" s="276"/>
      <c r="J223" s="276"/>
      <c r="K223" s="276"/>
      <c r="L223" s="276"/>
      <c r="M223" s="276"/>
      <c r="N223" s="277"/>
      <c r="O223" s="277"/>
      <c r="P223" s="277"/>
      <c r="Q223" s="277"/>
      <c r="S223" s="277"/>
      <c r="T223" s="277"/>
      <c r="V223" s="154"/>
      <c r="W223" s="154"/>
      <c r="X223" s="154"/>
      <c r="Y223" s="154"/>
      <c r="Z223" s="154"/>
      <c r="AA223" s="154"/>
    </row>
    <row r="224" spans="1:27" s="278" customFormat="1" x14ac:dyDescent="0.25">
      <c r="A224" s="143"/>
      <c r="B224" s="144"/>
      <c r="C224" s="133"/>
      <c r="D224" s="133"/>
      <c r="E224" s="166"/>
      <c r="F224" s="275"/>
      <c r="G224" s="275"/>
      <c r="H224" s="275"/>
      <c r="I224" s="276"/>
      <c r="J224" s="276"/>
      <c r="K224" s="276"/>
      <c r="L224" s="276"/>
      <c r="M224" s="276"/>
      <c r="N224" s="277"/>
      <c r="O224" s="277"/>
      <c r="P224" s="277"/>
      <c r="Q224" s="277"/>
      <c r="S224" s="277"/>
      <c r="T224" s="277"/>
      <c r="V224" s="154"/>
      <c r="W224" s="154"/>
      <c r="X224" s="154"/>
      <c r="Y224" s="154"/>
      <c r="Z224" s="154"/>
      <c r="AA224" s="154"/>
    </row>
    <row r="225" spans="1:27" s="278" customFormat="1" x14ac:dyDescent="0.25">
      <c r="A225" s="143"/>
      <c r="B225" s="144"/>
      <c r="C225" s="133"/>
      <c r="D225" s="133"/>
      <c r="E225" s="166"/>
      <c r="F225" s="275"/>
      <c r="G225" s="275"/>
      <c r="H225" s="275"/>
      <c r="I225" s="276"/>
      <c r="J225" s="276"/>
      <c r="K225" s="276"/>
      <c r="L225" s="276"/>
      <c r="M225" s="276"/>
      <c r="N225" s="277"/>
      <c r="O225" s="277"/>
      <c r="P225" s="277"/>
      <c r="Q225" s="277"/>
      <c r="S225" s="277"/>
      <c r="T225" s="277"/>
      <c r="V225" s="154"/>
      <c r="W225" s="154"/>
      <c r="X225" s="154"/>
      <c r="Y225" s="154"/>
      <c r="Z225" s="154"/>
      <c r="AA225" s="154"/>
    </row>
    <row r="226" spans="1:27" s="278" customFormat="1" x14ac:dyDescent="0.25">
      <c r="A226" s="143"/>
      <c r="B226" s="144"/>
      <c r="C226" s="133"/>
      <c r="D226" s="133"/>
      <c r="E226" s="166"/>
      <c r="F226" s="275"/>
      <c r="G226" s="275"/>
      <c r="H226" s="275"/>
      <c r="I226" s="276"/>
      <c r="J226" s="276"/>
      <c r="K226" s="276"/>
      <c r="L226" s="276"/>
      <c r="M226" s="276"/>
      <c r="N226" s="277"/>
      <c r="O226" s="277"/>
      <c r="P226" s="277"/>
      <c r="Q226" s="277"/>
      <c r="S226" s="277"/>
      <c r="T226" s="277"/>
      <c r="V226" s="154"/>
      <c r="W226" s="154"/>
      <c r="X226" s="154"/>
      <c r="Y226" s="154"/>
      <c r="Z226" s="154"/>
      <c r="AA226" s="154"/>
    </row>
    <row r="227" spans="1:27" s="278" customFormat="1" x14ac:dyDescent="0.25">
      <c r="A227" s="143"/>
      <c r="B227" s="144"/>
      <c r="C227" s="133"/>
      <c r="D227" s="133"/>
      <c r="E227" s="166"/>
      <c r="F227" s="275"/>
      <c r="G227" s="275"/>
      <c r="H227" s="275"/>
      <c r="I227" s="276"/>
      <c r="J227" s="276"/>
      <c r="K227" s="276"/>
      <c r="L227" s="276"/>
      <c r="M227" s="276"/>
      <c r="N227" s="277"/>
      <c r="O227" s="277"/>
      <c r="P227" s="277"/>
      <c r="Q227" s="277"/>
      <c r="S227" s="277"/>
      <c r="T227" s="277"/>
      <c r="V227" s="154"/>
      <c r="W227" s="154"/>
      <c r="X227" s="154"/>
      <c r="Y227" s="154"/>
      <c r="Z227" s="154"/>
      <c r="AA227" s="154"/>
    </row>
    <row r="228" spans="1:27" s="278" customFormat="1" x14ac:dyDescent="0.25">
      <c r="A228" s="143"/>
      <c r="B228" s="144"/>
      <c r="C228" s="133"/>
      <c r="D228" s="133"/>
      <c r="E228" s="166"/>
      <c r="F228" s="275"/>
      <c r="G228" s="275"/>
      <c r="H228" s="275"/>
      <c r="I228" s="276"/>
      <c r="J228" s="276"/>
      <c r="K228" s="276"/>
      <c r="L228" s="276"/>
      <c r="M228" s="276"/>
      <c r="N228" s="277"/>
      <c r="O228" s="277"/>
      <c r="P228" s="277"/>
      <c r="Q228" s="277"/>
      <c r="S228" s="277"/>
      <c r="T228" s="277"/>
      <c r="V228" s="154"/>
      <c r="W228" s="154"/>
      <c r="X228" s="154"/>
      <c r="Y228" s="154"/>
      <c r="Z228" s="154"/>
      <c r="AA228" s="154"/>
    </row>
    <row r="229" spans="1:27" s="278" customFormat="1" x14ac:dyDescent="0.25">
      <c r="A229" s="143"/>
      <c r="B229" s="144"/>
      <c r="C229" s="133"/>
      <c r="D229" s="133"/>
      <c r="E229" s="166"/>
      <c r="F229" s="275"/>
      <c r="G229" s="275"/>
      <c r="H229" s="275"/>
      <c r="I229" s="276"/>
      <c r="J229" s="276"/>
      <c r="K229" s="276"/>
      <c r="L229" s="276"/>
      <c r="M229" s="276"/>
      <c r="N229" s="277"/>
      <c r="O229" s="277"/>
      <c r="P229" s="277"/>
      <c r="Q229" s="277"/>
      <c r="S229" s="277"/>
      <c r="T229" s="277"/>
      <c r="V229" s="154"/>
      <c r="W229" s="154"/>
      <c r="X229" s="154"/>
      <c r="Y229" s="154"/>
      <c r="Z229" s="154"/>
      <c r="AA229" s="154"/>
    </row>
    <row r="230" spans="1:27" s="278" customFormat="1" x14ac:dyDescent="0.25">
      <c r="A230" s="143"/>
      <c r="B230" s="144"/>
      <c r="C230" s="133"/>
      <c r="D230" s="133"/>
      <c r="E230" s="166"/>
      <c r="F230" s="275"/>
      <c r="G230" s="275"/>
      <c r="H230" s="275"/>
      <c r="I230" s="276"/>
      <c r="J230" s="276"/>
      <c r="K230" s="276"/>
      <c r="L230" s="276"/>
      <c r="M230" s="276"/>
      <c r="N230" s="277"/>
      <c r="O230" s="277"/>
      <c r="P230" s="277"/>
      <c r="Q230" s="277"/>
      <c r="S230" s="277"/>
      <c r="T230" s="277"/>
      <c r="V230" s="154"/>
      <c r="W230" s="154"/>
      <c r="X230" s="154"/>
      <c r="Y230" s="154"/>
      <c r="Z230" s="154"/>
      <c r="AA230" s="154"/>
    </row>
    <row r="231" spans="1:27" s="278" customFormat="1" x14ac:dyDescent="0.25">
      <c r="A231" s="143"/>
      <c r="B231" s="144"/>
      <c r="C231" s="133"/>
      <c r="D231" s="133"/>
      <c r="E231" s="166"/>
      <c r="F231" s="275"/>
      <c r="G231" s="275"/>
      <c r="H231" s="275"/>
      <c r="I231" s="276"/>
      <c r="J231" s="276"/>
      <c r="K231" s="276"/>
      <c r="L231" s="276"/>
      <c r="M231" s="276"/>
      <c r="N231" s="277"/>
      <c r="O231" s="277"/>
      <c r="P231" s="277"/>
      <c r="Q231" s="277"/>
      <c r="S231" s="277"/>
      <c r="T231" s="277"/>
      <c r="V231" s="154"/>
      <c r="W231" s="154"/>
      <c r="X231" s="154"/>
      <c r="Y231" s="154"/>
      <c r="Z231" s="154"/>
      <c r="AA231" s="154"/>
    </row>
    <row r="232" spans="1:27" s="278" customFormat="1" x14ac:dyDescent="0.25">
      <c r="A232" s="143"/>
      <c r="B232" s="144"/>
      <c r="C232" s="133"/>
      <c r="D232" s="133"/>
      <c r="E232" s="166"/>
      <c r="F232" s="275"/>
      <c r="G232" s="275"/>
      <c r="H232" s="275"/>
      <c r="I232" s="276"/>
      <c r="J232" s="276"/>
      <c r="K232" s="276"/>
      <c r="L232" s="276"/>
      <c r="M232" s="276"/>
      <c r="N232" s="277"/>
      <c r="O232" s="277"/>
      <c r="P232" s="277"/>
      <c r="Q232" s="277"/>
      <c r="S232" s="277"/>
      <c r="T232" s="277"/>
      <c r="V232" s="154"/>
      <c r="W232" s="154"/>
      <c r="X232" s="154"/>
      <c r="Y232" s="154"/>
      <c r="Z232" s="154"/>
      <c r="AA232" s="154"/>
    </row>
    <row r="233" spans="1:27" s="278" customFormat="1" x14ac:dyDescent="0.25">
      <c r="A233" s="143"/>
      <c r="B233" s="144"/>
      <c r="C233" s="133"/>
      <c r="D233" s="133"/>
      <c r="E233" s="166"/>
      <c r="F233" s="275"/>
      <c r="G233" s="275"/>
      <c r="H233" s="275"/>
      <c r="I233" s="276"/>
      <c r="J233" s="276"/>
      <c r="K233" s="276"/>
      <c r="L233" s="276"/>
      <c r="M233" s="276"/>
      <c r="N233" s="277"/>
      <c r="O233" s="277"/>
      <c r="P233" s="277"/>
      <c r="Q233" s="277"/>
      <c r="S233" s="277"/>
      <c r="T233" s="277"/>
      <c r="V233" s="154"/>
      <c r="W233" s="154"/>
      <c r="X233" s="154"/>
      <c r="Y233" s="154"/>
      <c r="Z233" s="154"/>
      <c r="AA233" s="154"/>
    </row>
    <row r="234" spans="1:27" s="278" customFormat="1" x14ac:dyDescent="0.25">
      <c r="A234" s="143"/>
      <c r="B234" s="144"/>
      <c r="C234" s="133"/>
      <c r="D234" s="133"/>
      <c r="E234" s="166"/>
      <c r="F234" s="275"/>
      <c r="G234" s="275"/>
      <c r="H234" s="275"/>
      <c r="I234" s="276"/>
      <c r="J234" s="276"/>
      <c r="K234" s="276"/>
      <c r="L234" s="276"/>
      <c r="M234" s="276"/>
      <c r="N234" s="277"/>
      <c r="O234" s="277"/>
      <c r="P234" s="277"/>
      <c r="Q234" s="277"/>
      <c r="S234" s="277"/>
      <c r="T234" s="277"/>
      <c r="V234" s="154"/>
      <c r="W234" s="154"/>
      <c r="X234" s="154"/>
      <c r="Y234" s="154"/>
      <c r="Z234" s="154"/>
      <c r="AA234" s="154"/>
    </row>
    <row r="235" spans="1:27" s="278" customFormat="1" x14ac:dyDescent="0.25">
      <c r="A235" s="143"/>
      <c r="B235" s="144"/>
      <c r="C235" s="133"/>
      <c r="D235" s="133"/>
      <c r="E235" s="166"/>
      <c r="F235" s="275"/>
      <c r="G235" s="275"/>
      <c r="H235" s="275"/>
      <c r="I235" s="276"/>
      <c r="J235" s="276"/>
      <c r="K235" s="276"/>
      <c r="L235" s="276"/>
      <c r="M235" s="276"/>
      <c r="N235" s="277"/>
      <c r="O235" s="277"/>
      <c r="P235" s="277"/>
      <c r="Q235" s="277"/>
      <c r="S235" s="277"/>
      <c r="T235" s="277"/>
      <c r="V235" s="154"/>
      <c r="W235" s="154"/>
      <c r="X235" s="154"/>
      <c r="Y235" s="154"/>
      <c r="Z235" s="154"/>
      <c r="AA235" s="154"/>
    </row>
    <row r="236" spans="1:27" s="278" customFormat="1" x14ac:dyDescent="0.25">
      <c r="A236" s="143"/>
      <c r="B236" s="144"/>
      <c r="C236" s="133"/>
      <c r="D236" s="133"/>
      <c r="E236" s="166"/>
      <c r="F236" s="275"/>
      <c r="G236" s="275"/>
      <c r="H236" s="275"/>
      <c r="I236" s="276"/>
      <c r="J236" s="276"/>
      <c r="K236" s="276"/>
      <c r="L236" s="276"/>
      <c r="M236" s="276"/>
      <c r="N236" s="277"/>
      <c r="O236" s="277"/>
      <c r="P236" s="277"/>
      <c r="Q236" s="277"/>
      <c r="S236" s="277"/>
      <c r="T236" s="277"/>
      <c r="V236" s="154"/>
      <c r="W236" s="154"/>
      <c r="X236" s="154"/>
      <c r="Y236" s="154"/>
      <c r="Z236" s="154"/>
      <c r="AA236" s="154"/>
    </row>
    <row r="237" spans="1:27" s="278" customFormat="1" x14ac:dyDescent="0.25">
      <c r="A237" s="143"/>
      <c r="B237" s="144"/>
      <c r="C237" s="133"/>
      <c r="D237" s="133"/>
      <c r="E237" s="166"/>
      <c r="F237" s="275"/>
      <c r="G237" s="275"/>
      <c r="H237" s="275"/>
      <c r="I237" s="276"/>
      <c r="J237" s="276"/>
      <c r="K237" s="276"/>
      <c r="L237" s="276"/>
      <c r="M237" s="276"/>
      <c r="N237" s="277"/>
      <c r="O237" s="277"/>
      <c r="P237" s="277"/>
      <c r="Q237" s="277"/>
      <c r="S237" s="277"/>
      <c r="T237" s="277"/>
      <c r="V237" s="154"/>
      <c r="W237" s="154"/>
      <c r="X237" s="154"/>
      <c r="Y237" s="154"/>
      <c r="Z237" s="154"/>
      <c r="AA237" s="154"/>
    </row>
    <row r="238" spans="1:27" s="278" customFormat="1" x14ac:dyDescent="0.25">
      <c r="A238" s="143"/>
      <c r="B238" s="144"/>
      <c r="C238" s="133"/>
      <c r="D238" s="133"/>
      <c r="E238" s="166"/>
      <c r="F238" s="275"/>
      <c r="G238" s="275"/>
      <c r="H238" s="275"/>
      <c r="I238" s="276"/>
      <c r="J238" s="276"/>
      <c r="K238" s="276"/>
      <c r="L238" s="276"/>
      <c r="M238" s="276"/>
      <c r="N238" s="277"/>
      <c r="O238" s="277"/>
      <c r="P238" s="277"/>
      <c r="Q238" s="277"/>
      <c r="S238" s="277"/>
      <c r="T238" s="277"/>
      <c r="V238" s="154"/>
      <c r="W238" s="154"/>
      <c r="X238" s="154"/>
      <c r="Y238" s="154"/>
      <c r="Z238" s="154"/>
      <c r="AA238" s="154"/>
    </row>
    <row r="239" spans="1:27" s="278" customFormat="1" x14ac:dyDescent="0.25">
      <c r="A239" s="143"/>
      <c r="B239" s="144"/>
      <c r="C239" s="133"/>
      <c r="D239" s="133"/>
      <c r="E239" s="166"/>
      <c r="F239" s="275"/>
      <c r="G239" s="275"/>
      <c r="H239" s="275"/>
      <c r="I239" s="276"/>
      <c r="J239" s="276"/>
      <c r="K239" s="276"/>
      <c r="L239" s="276"/>
      <c r="M239" s="276"/>
      <c r="N239" s="277"/>
      <c r="O239" s="277"/>
      <c r="P239" s="277"/>
      <c r="Q239" s="277"/>
      <c r="S239" s="277"/>
      <c r="T239" s="277"/>
      <c r="V239" s="154"/>
      <c r="W239" s="154"/>
      <c r="X239" s="154"/>
      <c r="Y239" s="154"/>
      <c r="Z239" s="154"/>
      <c r="AA239" s="154"/>
    </row>
    <row r="240" spans="1:27" s="278" customFormat="1" x14ac:dyDescent="0.25">
      <c r="A240" s="143"/>
      <c r="B240" s="144"/>
      <c r="C240" s="133"/>
      <c r="D240" s="133"/>
      <c r="E240" s="166"/>
      <c r="F240" s="275"/>
      <c r="G240" s="275"/>
      <c r="H240" s="275"/>
      <c r="I240" s="276"/>
      <c r="J240" s="276"/>
      <c r="K240" s="276"/>
      <c r="L240" s="276"/>
      <c r="M240" s="276"/>
      <c r="N240" s="277"/>
      <c r="O240" s="277"/>
      <c r="P240" s="277"/>
      <c r="Q240" s="277"/>
      <c r="S240" s="277"/>
      <c r="T240" s="277"/>
      <c r="V240" s="154"/>
      <c r="W240" s="154"/>
      <c r="X240" s="154"/>
      <c r="Y240" s="154"/>
      <c r="Z240" s="154"/>
      <c r="AA240" s="154"/>
    </row>
    <row r="241" spans="1:27" s="278" customFormat="1" x14ac:dyDescent="0.25">
      <c r="A241" s="143"/>
      <c r="B241" s="144"/>
      <c r="C241" s="133"/>
      <c r="D241" s="133"/>
      <c r="E241" s="166"/>
      <c r="F241" s="275"/>
      <c r="G241" s="275"/>
      <c r="H241" s="275"/>
      <c r="I241" s="276"/>
      <c r="J241" s="276"/>
      <c r="K241" s="276"/>
      <c r="L241" s="276"/>
      <c r="M241" s="276"/>
      <c r="N241" s="277"/>
      <c r="O241" s="277"/>
      <c r="P241" s="277"/>
      <c r="Q241" s="277"/>
      <c r="S241" s="277"/>
      <c r="T241" s="277"/>
      <c r="V241" s="154"/>
      <c r="W241" s="154"/>
      <c r="X241" s="154"/>
      <c r="Y241" s="154"/>
      <c r="Z241" s="154"/>
      <c r="AA241" s="154"/>
    </row>
    <row r="242" spans="1:27" s="278" customFormat="1" x14ac:dyDescent="0.25">
      <c r="A242" s="143"/>
      <c r="B242" s="144"/>
      <c r="C242" s="133"/>
      <c r="D242" s="133"/>
      <c r="E242" s="166"/>
      <c r="F242" s="275"/>
      <c r="G242" s="275"/>
      <c r="H242" s="275"/>
      <c r="I242" s="276"/>
      <c r="J242" s="276"/>
      <c r="K242" s="276"/>
      <c r="L242" s="276"/>
      <c r="M242" s="276"/>
      <c r="N242" s="277"/>
      <c r="O242" s="277"/>
      <c r="P242" s="277"/>
      <c r="Q242" s="277"/>
      <c r="S242" s="277"/>
      <c r="T242" s="277"/>
      <c r="V242" s="154"/>
      <c r="W242" s="154"/>
      <c r="X242" s="154"/>
      <c r="Y242" s="154"/>
      <c r="Z242" s="154"/>
      <c r="AA242" s="154"/>
    </row>
    <row r="243" spans="1:27" s="278" customFormat="1" x14ac:dyDescent="0.25">
      <c r="A243" s="143"/>
      <c r="B243" s="144"/>
      <c r="C243" s="133"/>
      <c r="D243" s="133"/>
      <c r="E243" s="166"/>
      <c r="F243" s="275"/>
      <c r="G243" s="275"/>
      <c r="H243" s="275"/>
      <c r="I243" s="276"/>
      <c r="J243" s="276"/>
      <c r="K243" s="276"/>
      <c r="L243" s="276"/>
      <c r="M243" s="276"/>
      <c r="N243" s="277"/>
      <c r="O243" s="277"/>
      <c r="P243" s="277"/>
      <c r="Q243" s="277"/>
      <c r="S243" s="277"/>
      <c r="T243" s="277"/>
      <c r="V243" s="154"/>
      <c r="W243" s="154"/>
      <c r="X243" s="154"/>
      <c r="Y243" s="154"/>
      <c r="Z243" s="154"/>
      <c r="AA243" s="154"/>
    </row>
    <row r="244" spans="1:27" s="278" customFormat="1" x14ac:dyDescent="0.25">
      <c r="A244" s="143"/>
      <c r="B244" s="144"/>
      <c r="C244" s="133"/>
      <c r="D244" s="133"/>
      <c r="E244" s="166"/>
      <c r="F244" s="275"/>
      <c r="G244" s="275"/>
      <c r="H244" s="275"/>
      <c r="I244" s="276"/>
      <c r="J244" s="276"/>
      <c r="K244" s="276"/>
      <c r="L244" s="276"/>
      <c r="M244" s="276"/>
      <c r="N244" s="277"/>
      <c r="O244" s="277"/>
      <c r="P244" s="277"/>
      <c r="Q244" s="277"/>
      <c r="S244" s="277"/>
      <c r="T244" s="277"/>
      <c r="V244" s="154"/>
      <c r="W244" s="154"/>
      <c r="X244" s="154"/>
      <c r="Y244" s="154"/>
      <c r="Z244" s="154"/>
      <c r="AA244" s="154"/>
    </row>
    <row r="245" spans="1:27" s="278" customFormat="1" x14ac:dyDescent="0.25">
      <c r="A245" s="143"/>
      <c r="B245" s="144"/>
      <c r="C245" s="133"/>
      <c r="D245" s="133"/>
      <c r="E245" s="166"/>
      <c r="F245" s="275"/>
      <c r="G245" s="275"/>
      <c r="H245" s="275"/>
      <c r="I245" s="276"/>
      <c r="J245" s="276"/>
      <c r="K245" s="276"/>
      <c r="L245" s="276"/>
      <c r="M245" s="276"/>
      <c r="N245" s="277"/>
      <c r="O245" s="277"/>
      <c r="P245" s="277"/>
      <c r="Q245" s="277"/>
      <c r="S245" s="277"/>
      <c r="T245" s="277"/>
      <c r="V245" s="154"/>
      <c r="W245" s="154"/>
      <c r="X245" s="154"/>
      <c r="Y245" s="154"/>
      <c r="Z245" s="154"/>
      <c r="AA245" s="154"/>
    </row>
    <row r="246" spans="1:27" s="278" customFormat="1" x14ac:dyDescent="0.25">
      <c r="A246" s="143"/>
      <c r="B246" s="144"/>
      <c r="C246" s="133"/>
      <c r="D246" s="133"/>
      <c r="E246" s="166"/>
      <c r="F246" s="275"/>
      <c r="G246" s="275"/>
      <c r="H246" s="275"/>
      <c r="I246" s="276"/>
      <c r="J246" s="276"/>
      <c r="K246" s="276"/>
      <c r="L246" s="276"/>
      <c r="M246" s="276"/>
      <c r="N246" s="277"/>
      <c r="O246" s="277"/>
      <c r="P246" s="277"/>
      <c r="Q246" s="277"/>
      <c r="S246" s="277"/>
      <c r="T246" s="277"/>
      <c r="V246" s="154"/>
      <c r="W246" s="154"/>
      <c r="X246" s="154"/>
      <c r="Y246" s="154"/>
      <c r="Z246" s="154"/>
      <c r="AA246" s="154"/>
    </row>
    <row r="247" spans="1:27" s="278" customFormat="1" x14ac:dyDescent="0.25">
      <c r="A247" s="143"/>
      <c r="B247" s="144"/>
      <c r="C247" s="133"/>
      <c r="D247" s="133"/>
      <c r="E247" s="166"/>
      <c r="F247" s="275"/>
      <c r="G247" s="275"/>
      <c r="H247" s="275"/>
      <c r="I247" s="276"/>
      <c r="J247" s="276"/>
      <c r="K247" s="276"/>
      <c r="L247" s="276"/>
      <c r="M247" s="276"/>
      <c r="N247" s="277"/>
      <c r="O247" s="277"/>
      <c r="P247" s="277"/>
      <c r="Q247" s="277"/>
      <c r="S247" s="277"/>
      <c r="T247" s="277"/>
      <c r="V247" s="154"/>
      <c r="W247" s="154"/>
      <c r="X247" s="154"/>
      <c r="Y247" s="154"/>
      <c r="Z247" s="154"/>
      <c r="AA247" s="154"/>
    </row>
    <row r="248" spans="1:27" s="278" customFormat="1" x14ac:dyDescent="0.25">
      <c r="A248" s="143"/>
      <c r="B248" s="144"/>
      <c r="C248" s="133"/>
      <c r="D248" s="133"/>
      <c r="E248" s="166"/>
      <c r="F248" s="275"/>
      <c r="G248" s="275"/>
      <c r="H248" s="275"/>
      <c r="I248" s="276"/>
      <c r="J248" s="276"/>
      <c r="K248" s="276"/>
      <c r="L248" s="276"/>
      <c r="M248" s="276"/>
      <c r="N248" s="277"/>
      <c r="O248" s="277"/>
      <c r="P248" s="277"/>
      <c r="Q248" s="277"/>
      <c r="S248" s="277"/>
      <c r="T248" s="277"/>
      <c r="V248" s="154"/>
      <c r="W248" s="154"/>
      <c r="X248" s="154"/>
      <c r="Y248" s="154"/>
      <c r="Z248" s="154"/>
      <c r="AA248" s="154"/>
    </row>
    <row r="249" spans="1:27" s="278" customFormat="1" x14ac:dyDescent="0.25">
      <c r="A249" s="143"/>
      <c r="B249" s="144"/>
      <c r="C249" s="133"/>
      <c r="D249" s="133"/>
      <c r="E249" s="166"/>
      <c r="F249" s="275"/>
      <c r="G249" s="275"/>
      <c r="H249" s="275"/>
      <c r="I249" s="276"/>
      <c r="J249" s="276"/>
      <c r="K249" s="276"/>
      <c r="L249" s="276"/>
      <c r="M249" s="276"/>
      <c r="N249" s="277"/>
      <c r="O249" s="277"/>
      <c r="P249" s="277"/>
      <c r="Q249" s="277"/>
      <c r="S249" s="277"/>
      <c r="T249" s="277"/>
      <c r="V249" s="154"/>
      <c r="W249" s="154"/>
      <c r="X249" s="154"/>
      <c r="Y249" s="154"/>
      <c r="Z249" s="154"/>
      <c r="AA249" s="154"/>
    </row>
    <row r="250" spans="1:27" s="278" customFormat="1" x14ac:dyDescent="0.25">
      <c r="A250" s="143"/>
      <c r="B250" s="144"/>
      <c r="C250" s="133"/>
      <c r="D250" s="133"/>
      <c r="E250" s="166"/>
      <c r="F250" s="275"/>
      <c r="G250" s="275"/>
      <c r="H250" s="275"/>
      <c r="I250" s="276"/>
      <c r="J250" s="276"/>
      <c r="K250" s="276"/>
      <c r="L250" s="276"/>
      <c r="M250" s="276"/>
      <c r="N250" s="277"/>
      <c r="O250" s="277"/>
      <c r="P250" s="277"/>
      <c r="Q250" s="277"/>
      <c r="S250" s="277"/>
      <c r="T250" s="277"/>
      <c r="V250" s="154"/>
      <c r="W250" s="154"/>
      <c r="X250" s="154"/>
      <c r="Y250" s="154"/>
      <c r="Z250" s="154"/>
      <c r="AA250" s="154"/>
    </row>
    <row r="251" spans="1:27" s="278" customFormat="1" x14ac:dyDescent="0.25">
      <c r="A251" s="143"/>
      <c r="B251" s="144"/>
      <c r="C251" s="133"/>
      <c r="D251" s="133"/>
      <c r="E251" s="166"/>
      <c r="F251" s="275"/>
      <c r="G251" s="275"/>
      <c r="H251" s="275"/>
      <c r="I251" s="276"/>
      <c r="J251" s="276"/>
      <c r="K251" s="276"/>
      <c r="L251" s="276"/>
      <c r="M251" s="276"/>
      <c r="N251" s="277"/>
      <c r="O251" s="277"/>
      <c r="P251" s="277"/>
      <c r="Q251" s="277"/>
      <c r="S251" s="277"/>
      <c r="T251" s="277"/>
      <c r="V251" s="154"/>
      <c r="W251" s="154"/>
      <c r="X251" s="154"/>
      <c r="Y251" s="154"/>
      <c r="Z251" s="154"/>
      <c r="AA251" s="154"/>
    </row>
    <row r="252" spans="1:27" s="278" customFormat="1" x14ac:dyDescent="0.25">
      <c r="A252" s="143"/>
      <c r="B252" s="144"/>
      <c r="C252" s="133"/>
      <c r="D252" s="133"/>
      <c r="E252" s="166"/>
      <c r="F252" s="275"/>
      <c r="G252" s="275"/>
      <c r="H252" s="275"/>
      <c r="I252" s="276"/>
      <c r="J252" s="276"/>
      <c r="K252" s="276"/>
      <c r="L252" s="276"/>
      <c r="M252" s="276"/>
      <c r="N252" s="277"/>
      <c r="O252" s="277"/>
      <c r="P252" s="277"/>
      <c r="Q252" s="277"/>
      <c r="S252" s="277"/>
      <c r="T252" s="277"/>
      <c r="V252" s="154"/>
      <c r="W252" s="154"/>
      <c r="X252" s="154"/>
      <c r="Y252" s="154"/>
      <c r="Z252" s="154"/>
      <c r="AA252" s="154"/>
    </row>
    <row r="253" spans="1:27" s="278" customFormat="1" x14ac:dyDescent="0.25">
      <c r="A253" s="143"/>
      <c r="B253" s="144"/>
      <c r="C253" s="133"/>
      <c r="D253" s="133"/>
      <c r="E253" s="166"/>
      <c r="F253" s="275"/>
      <c r="G253" s="275"/>
      <c r="H253" s="275"/>
      <c r="I253" s="276"/>
      <c r="J253" s="276"/>
      <c r="K253" s="276"/>
      <c r="L253" s="276"/>
      <c r="M253" s="276"/>
      <c r="N253" s="277"/>
      <c r="O253" s="277"/>
      <c r="P253" s="277"/>
      <c r="Q253" s="277"/>
      <c r="S253" s="277"/>
      <c r="T253" s="277"/>
      <c r="V253" s="154"/>
      <c r="W253" s="154"/>
      <c r="X253" s="154"/>
      <c r="Y253" s="154"/>
      <c r="Z253" s="154"/>
      <c r="AA253" s="154"/>
    </row>
    <row r="254" spans="1:27" s="278" customFormat="1" x14ac:dyDescent="0.25">
      <c r="A254" s="143"/>
      <c r="B254" s="144"/>
      <c r="C254" s="133"/>
      <c r="D254" s="133"/>
      <c r="E254" s="166"/>
      <c r="F254" s="275"/>
      <c r="G254" s="275"/>
      <c r="H254" s="275"/>
      <c r="I254" s="276"/>
      <c r="J254" s="276"/>
      <c r="K254" s="276"/>
      <c r="L254" s="276"/>
      <c r="M254" s="276"/>
      <c r="N254" s="277"/>
      <c r="O254" s="277"/>
      <c r="P254" s="277"/>
      <c r="Q254" s="277"/>
      <c r="S254" s="277"/>
      <c r="T254" s="277"/>
      <c r="V254" s="154"/>
      <c r="W254" s="154"/>
      <c r="X254" s="154"/>
      <c r="Y254" s="154"/>
      <c r="Z254" s="154"/>
      <c r="AA254" s="154"/>
    </row>
    <row r="255" spans="1:27" s="278" customFormat="1" x14ac:dyDescent="0.25">
      <c r="A255" s="143"/>
      <c r="B255" s="144"/>
      <c r="C255" s="133"/>
      <c r="D255" s="133"/>
      <c r="E255" s="166"/>
      <c r="F255" s="275"/>
      <c r="G255" s="275"/>
      <c r="H255" s="275"/>
      <c r="I255" s="276"/>
      <c r="J255" s="276"/>
      <c r="K255" s="276"/>
      <c r="L255" s="276"/>
      <c r="M255" s="276"/>
      <c r="N255" s="277"/>
      <c r="O255" s="277"/>
      <c r="P255" s="277"/>
      <c r="Q255" s="277"/>
      <c r="S255" s="277"/>
      <c r="T255" s="277"/>
      <c r="V255" s="154"/>
      <c r="W255" s="154"/>
      <c r="X255" s="154"/>
      <c r="Y255" s="154"/>
      <c r="Z255" s="154"/>
      <c r="AA255" s="154"/>
    </row>
    <row r="256" spans="1:27" s="278" customFormat="1" x14ac:dyDescent="0.25">
      <c r="A256" s="143"/>
      <c r="B256" s="144"/>
      <c r="C256" s="133"/>
      <c r="D256" s="133"/>
      <c r="E256" s="166"/>
      <c r="F256" s="275"/>
      <c r="G256" s="275"/>
      <c r="H256" s="275"/>
      <c r="I256" s="276"/>
      <c r="J256" s="276"/>
      <c r="K256" s="276"/>
      <c r="L256" s="276"/>
      <c r="M256" s="276"/>
      <c r="N256" s="277"/>
      <c r="O256" s="277"/>
      <c r="P256" s="277"/>
      <c r="Q256" s="277"/>
      <c r="S256" s="277"/>
      <c r="T256" s="277"/>
      <c r="V256" s="154"/>
      <c r="W256" s="154"/>
      <c r="X256" s="154"/>
      <c r="Y256" s="154"/>
      <c r="Z256" s="154"/>
      <c r="AA256" s="154"/>
    </row>
    <row r="257" spans="1:27" s="278" customFormat="1" x14ac:dyDescent="0.25">
      <c r="A257" s="143"/>
      <c r="B257" s="144"/>
      <c r="C257" s="133"/>
      <c r="D257" s="133"/>
      <c r="E257" s="166"/>
      <c r="F257" s="275"/>
      <c r="G257" s="275"/>
      <c r="H257" s="275"/>
      <c r="I257" s="276"/>
      <c r="J257" s="276"/>
      <c r="K257" s="276"/>
      <c r="L257" s="276"/>
      <c r="M257" s="276"/>
      <c r="N257" s="277"/>
      <c r="O257" s="277"/>
      <c r="P257" s="277"/>
      <c r="Q257" s="277"/>
      <c r="S257" s="277"/>
      <c r="T257" s="277"/>
      <c r="V257" s="154"/>
      <c r="W257" s="154"/>
      <c r="X257" s="154"/>
      <c r="Y257" s="154"/>
      <c r="Z257" s="154"/>
      <c r="AA257" s="154"/>
    </row>
    <row r="258" spans="1:27" s="278" customFormat="1" x14ac:dyDescent="0.25">
      <c r="A258" s="143"/>
      <c r="B258" s="144"/>
      <c r="C258" s="133"/>
      <c r="D258" s="133"/>
      <c r="E258" s="166"/>
      <c r="F258" s="275"/>
      <c r="G258" s="275"/>
      <c r="H258" s="275"/>
      <c r="I258" s="276"/>
      <c r="J258" s="276"/>
      <c r="K258" s="276"/>
      <c r="L258" s="276"/>
      <c r="M258" s="276"/>
      <c r="N258" s="277"/>
      <c r="O258" s="277"/>
      <c r="P258" s="277"/>
      <c r="Q258" s="277"/>
      <c r="S258" s="277"/>
      <c r="T258" s="277"/>
      <c r="V258" s="154"/>
      <c r="W258" s="154"/>
      <c r="X258" s="154"/>
      <c r="Y258" s="154"/>
      <c r="Z258" s="154"/>
      <c r="AA258" s="154"/>
    </row>
    <row r="259" spans="1:27" s="278" customFormat="1" x14ac:dyDescent="0.25">
      <c r="A259" s="143"/>
      <c r="B259" s="144"/>
      <c r="C259" s="133"/>
      <c r="D259" s="133"/>
      <c r="E259" s="166"/>
      <c r="F259" s="275"/>
      <c r="G259" s="275"/>
      <c r="H259" s="275"/>
      <c r="I259" s="276"/>
      <c r="J259" s="276"/>
      <c r="K259" s="276"/>
      <c r="L259" s="276"/>
      <c r="M259" s="276"/>
      <c r="N259" s="277"/>
      <c r="O259" s="277"/>
      <c r="P259" s="277"/>
      <c r="Q259" s="277"/>
      <c r="S259" s="277"/>
      <c r="T259" s="277"/>
      <c r="V259" s="154"/>
      <c r="W259" s="154"/>
      <c r="X259" s="154"/>
      <c r="Y259" s="154"/>
      <c r="Z259" s="154"/>
      <c r="AA259" s="154"/>
    </row>
    <row r="260" spans="1:27" s="278" customFormat="1" x14ac:dyDescent="0.25">
      <c r="A260" s="143"/>
      <c r="B260" s="144"/>
      <c r="C260" s="133"/>
      <c r="D260" s="133"/>
      <c r="E260" s="166"/>
      <c r="F260" s="275"/>
      <c r="G260" s="275"/>
      <c r="H260" s="275"/>
      <c r="I260" s="276"/>
      <c r="J260" s="276"/>
      <c r="K260" s="276"/>
      <c r="L260" s="276"/>
      <c r="M260" s="276"/>
      <c r="N260" s="277"/>
      <c r="O260" s="277"/>
      <c r="P260" s="277"/>
      <c r="Q260" s="277"/>
      <c r="S260" s="277"/>
      <c r="T260" s="277"/>
      <c r="V260" s="154"/>
      <c r="W260" s="154"/>
      <c r="X260" s="154"/>
      <c r="Y260" s="154"/>
      <c r="Z260" s="154"/>
      <c r="AA260" s="154"/>
    </row>
    <row r="261" spans="1:27" s="278" customFormat="1" x14ac:dyDescent="0.25">
      <c r="A261" s="143"/>
      <c r="B261" s="144"/>
      <c r="C261" s="133"/>
      <c r="D261" s="133"/>
      <c r="E261" s="166"/>
      <c r="F261" s="275"/>
      <c r="G261" s="275"/>
      <c r="H261" s="275"/>
      <c r="I261" s="276"/>
      <c r="J261" s="276"/>
      <c r="K261" s="276"/>
      <c r="L261" s="276"/>
      <c r="M261" s="276"/>
      <c r="N261" s="277"/>
      <c r="O261" s="277"/>
      <c r="P261" s="277"/>
      <c r="Q261" s="277"/>
      <c r="S261" s="277"/>
      <c r="T261" s="277"/>
      <c r="V261" s="154"/>
      <c r="W261" s="154"/>
      <c r="X261" s="154"/>
      <c r="Y261" s="154"/>
      <c r="Z261" s="154"/>
      <c r="AA261" s="154"/>
    </row>
    <row r="262" spans="1:27" s="278" customFormat="1" x14ac:dyDescent="0.25">
      <c r="A262" s="143"/>
      <c r="B262" s="139"/>
      <c r="C262" s="152"/>
      <c r="D262" s="133"/>
      <c r="E262" s="166"/>
      <c r="F262" s="275"/>
      <c r="G262" s="275"/>
      <c r="H262" s="275"/>
      <c r="I262" s="276"/>
      <c r="J262" s="276"/>
      <c r="K262" s="276"/>
      <c r="L262" s="276"/>
      <c r="M262" s="276"/>
      <c r="N262" s="277"/>
      <c r="O262" s="277"/>
      <c r="P262" s="277"/>
      <c r="Q262" s="277"/>
      <c r="S262" s="277"/>
      <c r="T262" s="277"/>
      <c r="V262" s="154"/>
      <c r="W262" s="154"/>
      <c r="X262" s="154"/>
      <c r="Y262" s="154"/>
      <c r="Z262" s="154"/>
      <c r="AA262" s="154"/>
    </row>
    <row r="263" spans="1:27" s="278" customFormat="1" x14ac:dyDescent="0.25">
      <c r="A263" s="143"/>
      <c r="B263" s="139"/>
      <c r="C263" s="152"/>
      <c r="D263" s="133"/>
      <c r="E263" s="166"/>
      <c r="F263" s="275"/>
      <c r="G263" s="275"/>
      <c r="H263" s="275"/>
      <c r="I263" s="276"/>
      <c r="J263" s="276"/>
      <c r="K263" s="276"/>
      <c r="L263" s="276"/>
      <c r="M263" s="276"/>
      <c r="N263" s="277"/>
      <c r="O263" s="277"/>
      <c r="P263" s="277"/>
      <c r="Q263" s="277"/>
      <c r="S263" s="277"/>
      <c r="T263" s="277"/>
      <c r="V263" s="154"/>
      <c r="W263" s="154"/>
      <c r="X263" s="154"/>
      <c r="Y263" s="154"/>
      <c r="Z263" s="154"/>
      <c r="AA263" s="154"/>
    </row>
    <row r="264" spans="1:27" s="278" customFormat="1" x14ac:dyDescent="0.25">
      <c r="A264" s="143"/>
      <c r="B264" s="139"/>
      <c r="C264" s="152"/>
      <c r="D264" s="133"/>
      <c r="E264" s="166"/>
      <c r="F264" s="275"/>
      <c r="G264" s="275"/>
      <c r="H264" s="275"/>
      <c r="I264" s="276"/>
      <c r="J264" s="276"/>
      <c r="K264" s="276"/>
      <c r="L264" s="276"/>
      <c r="M264" s="276"/>
      <c r="N264" s="277"/>
      <c r="O264" s="277"/>
      <c r="P264" s="277"/>
      <c r="Q264" s="277"/>
      <c r="S264" s="277"/>
      <c r="T264" s="277"/>
      <c r="V264" s="154"/>
      <c r="W264" s="154"/>
      <c r="X264" s="154"/>
      <c r="Y264" s="154"/>
      <c r="Z264" s="154"/>
      <c r="AA264" s="154"/>
    </row>
    <row r="265" spans="1:27" s="278" customFormat="1" x14ac:dyDescent="0.25">
      <c r="A265" s="143"/>
      <c r="B265" s="139"/>
      <c r="C265" s="152"/>
      <c r="D265" s="133"/>
      <c r="E265" s="166"/>
      <c r="F265" s="275"/>
      <c r="G265" s="275"/>
      <c r="H265" s="275"/>
      <c r="I265" s="276"/>
      <c r="J265" s="276"/>
      <c r="K265" s="276"/>
      <c r="L265" s="276"/>
      <c r="M265" s="276"/>
      <c r="N265" s="277"/>
      <c r="O265" s="277"/>
      <c r="P265" s="277"/>
      <c r="Q265" s="277"/>
      <c r="S265" s="277"/>
      <c r="T265" s="277"/>
      <c r="V265" s="154"/>
      <c r="W265" s="154"/>
      <c r="X265" s="154"/>
      <c r="Y265" s="154"/>
      <c r="Z265" s="154"/>
      <c r="AA265" s="154"/>
    </row>
    <row r="266" spans="1:27" s="278" customFormat="1" x14ac:dyDescent="0.25">
      <c r="A266" s="143"/>
      <c r="B266" s="139"/>
      <c r="C266" s="152"/>
      <c r="D266" s="133"/>
      <c r="E266" s="166"/>
      <c r="F266" s="275"/>
      <c r="G266" s="275"/>
      <c r="H266" s="275"/>
      <c r="I266" s="276"/>
      <c r="J266" s="276"/>
      <c r="K266" s="276"/>
      <c r="L266" s="276"/>
      <c r="M266" s="276"/>
      <c r="N266" s="277"/>
      <c r="O266" s="277"/>
      <c r="P266" s="277"/>
      <c r="Q266" s="277"/>
      <c r="S266" s="277"/>
      <c r="T266" s="277"/>
      <c r="V266" s="154"/>
      <c r="W266" s="154"/>
      <c r="X266" s="154"/>
      <c r="Y266" s="154"/>
      <c r="Z266" s="154"/>
      <c r="AA266" s="154"/>
    </row>
    <row r="267" spans="1:27" s="278" customFormat="1" x14ac:dyDescent="0.25">
      <c r="A267" s="143"/>
      <c r="B267" s="139"/>
      <c r="C267" s="152"/>
      <c r="D267" s="133"/>
      <c r="E267" s="166"/>
      <c r="F267" s="275"/>
      <c r="G267" s="275"/>
      <c r="H267" s="275"/>
      <c r="I267" s="276"/>
      <c r="J267" s="276"/>
      <c r="K267" s="276"/>
      <c r="L267" s="276"/>
      <c r="M267" s="276"/>
      <c r="N267" s="277"/>
      <c r="O267" s="277"/>
      <c r="P267" s="277"/>
      <c r="Q267" s="277"/>
      <c r="S267" s="277"/>
      <c r="T267" s="277"/>
      <c r="V267" s="154"/>
      <c r="W267" s="154"/>
      <c r="X267" s="154"/>
      <c r="Y267" s="154"/>
      <c r="Z267" s="154"/>
      <c r="AA267" s="154"/>
    </row>
    <row r="268" spans="1:27" s="278" customFormat="1" x14ac:dyDescent="0.25">
      <c r="A268" s="143"/>
      <c r="B268" s="139"/>
      <c r="C268" s="152"/>
      <c r="D268" s="133"/>
      <c r="E268" s="166"/>
      <c r="F268" s="275"/>
      <c r="G268" s="275"/>
      <c r="H268" s="275"/>
      <c r="I268" s="276"/>
      <c r="J268" s="276"/>
      <c r="K268" s="276"/>
      <c r="L268" s="276"/>
      <c r="M268" s="276"/>
      <c r="N268" s="277"/>
      <c r="O268" s="277"/>
      <c r="P268" s="277"/>
      <c r="Q268" s="277"/>
      <c r="S268" s="277"/>
      <c r="T268" s="277"/>
      <c r="V268" s="154"/>
      <c r="W268" s="154"/>
      <c r="X268" s="154"/>
      <c r="Y268" s="154"/>
      <c r="Z268" s="154"/>
      <c r="AA268" s="154"/>
    </row>
    <row r="269" spans="1:27" s="278" customFormat="1" x14ac:dyDescent="0.25">
      <c r="A269" s="143"/>
      <c r="B269" s="139"/>
      <c r="C269" s="152"/>
      <c r="D269" s="133"/>
      <c r="E269" s="166"/>
      <c r="F269" s="275"/>
      <c r="G269" s="275"/>
      <c r="H269" s="275"/>
      <c r="I269" s="276"/>
      <c r="J269" s="276"/>
      <c r="K269" s="276"/>
      <c r="L269" s="276"/>
      <c r="M269" s="276"/>
      <c r="N269" s="277"/>
      <c r="O269" s="277"/>
      <c r="P269" s="277"/>
      <c r="Q269" s="277"/>
      <c r="S269" s="277"/>
      <c r="T269" s="277"/>
      <c r="V269" s="154"/>
      <c r="W269" s="154"/>
      <c r="X269" s="154"/>
      <c r="Y269" s="154"/>
      <c r="Z269" s="154"/>
      <c r="AA269" s="154"/>
    </row>
    <row r="270" spans="1:27" s="278" customFormat="1" x14ac:dyDescent="0.25">
      <c r="A270" s="143"/>
      <c r="B270" s="139"/>
      <c r="C270" s="152"/>
      <c r="D270" s="133"/>
      <c r="E270" s="166"/>
      <c r="F270" s="275"/>
      <c r="G270" s="275"/>
      <c r="H270" s="275"/>
      <c r="I270" s="276"/>
      <c r="J270" s="276"/>
      <c r="K270" s="276"/>
      <c r="L270" s="276"/>
      <c r="M270" s="276"/>
      <c r="N270" s="277"/>
      <c r="O270" s="277"/>
      <c r="P270" s="277"/>
      <c r="Q270" s="277"/>
      <c r="S270" s="277"/>
      <c r="T270" s="277"/>
      <c r="V270" s="154"/>
      <c r="W270" s="154"/>
      <c r="X270" s="154"/>
      <c r="Y270" s="154"/>
      <c r="Z270" s="154"/>
      <c r="AA270" s="154"/>
    </row>
    <row r="271" spans="1:27" s="278" customFormat="1" x14ac:dyDescent="0.25">
      <c r="A271" s="143"/>
      <c r="B271" s="139"/>
      <c r="C271" s="152"/>
      <c r="D271" s="133"/>
      <c r="E271" s="166"/>
      <c r="F271" s="275"/>
      <c r="G271" s="275"/>
      <c r="H271" s="275"/>
      <c r="I271" s="276"/>
      <c r="J271" s="276"/>
      <c r="K271" s="276"/>
      <c r="L271" s="276"/>
      <c r="M271" s="276"/>
      <c r="N271" s="277"/>
      <c r="O271" s="277"/>
      <c r="P271" s="277"/>
      <c r="Q271" s="277"/>
      <c r="S271" s="277"/>
      <c r="T271" s="277"/>
      <c r="V271" s="154"/>
      <c r="W271" s="154"/>
      <c r="X271" s="154"/>
      <c r="Y271" s="154"/>
      <c r="Z271" s="154"/>
      <c r="AA271" s="154"/>
    </row>
    <row r="272" spans="1:27" s="278" customFormat="1" x14ac:dyDescent="0.25">
      <c r="A272" s="143"/>
      <c r="B272" s="139"/>
      <c r="C272" s="152"/>
      <c r="D272" s="133"/>
      <c r="E272" s="166"/>
      <c r="F272" s="275"/>
      <c r="G272" s="275"/>
      <c r="H272" s="275"/>
      <c r="I272" s="276"/>
      <c r="J272" s="276"/>
      <c r="K272" s="276"/>
      <c r="L272" s="276"/>
      <c r="M272" s="276"/>
      <c r="N272" s="277"/>
      <c r="O272" s="277"/>
      <c r="P272" s="277"/>
      <c r="Q272" s="277"/>
      <c r="S272" s="277"/>
      <c r="T272" s="277"/>
      <c r="V272" s="154"/>
      <c r="W272" s="154"/>
      <c r="X272" s="154"/>
      <c r="Y272" s="154"/>
      <c r="Z272" s="154"/>
      <c r="AA272" s="154"/>
    </row>
    <row r="273" spans="1:27" s="278" customFormat="1" x14ac:dyDescent="0.25">
      <c r="A273" s="143"/>
      <c r="B273" s="139"/>
      <c r="C273" s="152"/>
      <c r="D273" s="133"/>
      <c r="E273" s="166"/>
      <c r="F273" s="275"/>
      <c r="G273" s="275"/>
      <c r="H273" s="275"/>
      <c r="I273" s="276"/>
      <c r="J273" s="276"/>
      <c r="K273" s="276"/>
      <c r="L273" s="276"/>
      <c r="M273" s="276"/>
      <c r="N273" s="277"/>
      <c r="O273" s="277"/>
      <c r="P273" s="277"/>
      <c r="Q273" s="277"/>
      <c r="S273" s="277"/>
      <c r="T273" s="277"/>
      <c r="V273" s="154"/>
      <c r="W273" s="154"/>
      <c r="X273" s="154"/>
      <c r="Y273" s="154"/>
      <c r="Z273" s="154"/>
      <c r="AA273" s="154"/>
    </row>
    <row r="274" spans="1:27" s="278" customFormat="1" x14ac:dyDescent="0.25">
      <c r="A274" s="143"/>
      <c r="B274" s="139"/>
      <c r="C274" s="152"/>
      <c r="D274" s="133"/>
      <c r="E274" s="166"/>
      <c r="F274" s="275"/>
      <c r="G274" s="275"/>
      <c r="H274" s="275"/>
      <c r="I274" s="276"/>
      <c r="J274" s="276"/>
      <c r="K274" s="276"/>
      <c r="L274" s="276"/>
      <c r="M274" s="276"/>
      <c r="N274" s="277"/>
      <c r="O274" s="277"/>
      <c r="P274" s="277"/>
      <c r="Q274" s="277"/>
      <c r="S274" s="277"/>
      <c r="T274" s="277"/>
      <c r="V274" s="154"/>
      <c r="W274" s="154"/>
      <c r="X274" s="154"/>
      <c r="Y274" s="154"/>
      <c r="Z274" s="154"/>
      <c r="AA274" s="154"/>
    </row>
    <row r="275" spans="1:27" s="278" customFormat="1" x14ac:dyDescent="0.25">
      <c r="A275" s="143"/>
      <c r="B275" s="139"/>
      <c r="C275" s="152"/>
      <c r="D275" s="133"/>
      <c r="E275" s="166"/>
      <c r="F275" s="275"/>
      <c r="G275" s="275"/>
      <c r="H275" s="275"/>
      <c r="I275" s="276"/>
      <c r="J275" s="276"/>
      <c r="K275" s="276"/>
      <c r="L275" s="276"/>
      <c r="M275" s="276"/>
      <c r="N275" s="277"/>
      <c r="O275" s="277"/>
      <c r="P275" s="277"/>
      <c r="Q275" s="277"/>
      <c r="S275" s="277"/>
      <c r="T275" s="277"/>
      <c r="V275" s="154"/>
      <c r="W275" s="154"/>
      <c r="X275" s="154"/>
      <c r="Y275" s="154"/>
      <c r="Z275" s="154"/>
      <c r="AA275" s="154"/>
    </row>
    <row r="276" spans="1:27" s="278" customFormat="1" x14ac:dyDescent="0.25">
      <c r="A276" s="143"/>
      <c r="B276" s="139"/>
      <c r="C276" s="152"/>
      <c r="D276" s="133"/>
      <c r="E276" s="166"/>
      <c r="F276" s="275"/>
      <c r="G276" s="275"/>
      <c r="H276" s="275"/>
      <c r="I276" s="276"/>
      <c r="J276" s="276"/>
      <c r="K276" s="276"/>
      <c r="L276" s="276"/>
      <c r="M276" s="276"/>
      <c r="N276" s="277"/>
      <c r="O276" s="277"/>
      <c r="P276" s="277"/>
      <c r="Q276" s="277"/>
      <c r="S276" s="277"/>
      <c r="T276" s="277"/>
      <c r="V276" s="154"/>
      <c r="W276" s="154"/>
      <c r="X276" s="154"/>
      <c r="Y276" s="154"/>
      <c r="Z276" s="154"/>
      <c r="AA276" s="154"/>
    </row>
    <row r="277" spans="1:27" s="278" customFormat="1" x14ac:dyDescent="0.25">
      <c r="A277" s="143"/>
      <c r="B277" s="139"/>
      <c r="C277" s="152"/>
      <c r="D277" s="133"/>
      <c r="E277" s="166"/>
      <c r="F277" s="275"/>
      <c r="G277" s="275"/>
      <c r="H277" s="275"/>
      <c r="I277" s="276"/>
      <c r="J277" s="276"/>
      <c r="K277" s="276"/>
      <c r="L277" s="276"/>
      <c r="M277" s="276"/>
      <c r="N277" s="277"/>
      <c r="O277" s="277"/>
      <c r="P277" s="277"/>
      <c r="Q277" s="277"/>
      <c r="S277" s="277"/>
      <c r="T277" s="277"/>
      <c r="V277" s="154"/>
      <c r="W277" s="154"/>
      <c r="X277" s="154"/>
      <c r="Y277" s="154"/>
      <c r="Z277" s="154"/>
      <c r="AA277" s="154"/>
    </row>
    <row r="278" spans="1:27" s="278" customFormat="1" x14ac:dyDescent="0.25">
      <c r="A278" s="143"/>
      <c r="B278" s="139"/>
      <c r="C278" s="152"/>
      <c r="D278" s="133"/>
      <c r="E278" s="166"/>
      <c r="F278" s="275"/>
      <c r="G278" s="275"/>
      <c r="H278" s="275"/>
      <c r="I278" s="276"/>
      <c r="J278" s="276"/>
      <c r="K278" s="276"/>
      <c r="L278" s="276"/>
      <c r="M278" s="276"/>
      <c r="N278" s="277"/>
      <c r="O278" s="277"/>
      <c r="P278" s="277"/>
      <c r="Q278" s="277"/>
      <c r="S278" s="277"/>
      <c r="T278" s="277"/>
      <c r="V278" s="154"/>
      <c r="W278" s="154"/>
      <c r="X278" s="154"/>
      <c r="Y278" s="154"/>
      <c r="Z278" s="154"/>
      <c r="AA278" s="154"/>
    </row>
    <row r="279" spans="1:27" s="278" customFormat="1" x14ac:dyDescent="0.25">
      <c r="A279" s="143"/>
      <c r="B279" s="139"/>
      <c r="C279" s="152"/>
      <c r="D279" s="133"/>
      <c r="E279" s="166"/>
      <c r="F279" s="275"/>
      <c r="G279" s="275"/>
      <c r="H279" s="275"/>
      <c r="I279" s="276"/>
      <c r="J279" s="276"/>
      <c r="K279" s="276"/>
      <c r="L279" s="276"/>
      <c r="M279" s="276"/>
      <c r="N279" s="277"/>
      <c r="O279" s="277"/>
      <c r="P279" s="277"/>
      <c r="Q279" s="277"/>
      <c r="S279" s="277"/>
      <c r="T279" s="277"/>
      <c r="V279" s="154"/>
      <c r="W279" s="154"/>
      <c r="X279" s="154"/>
      <c r="Y279" s="154"/>
      <c r="Z279" s="154"/>
      <c r="AA279" s="154"/>
    </row>
    <row r="280" spans="1:27" s="278" customFormat="1" x14ac:dyDescent="0.25">
      <c r="A280" s="143"/>
      <c r="B280" s="139"/>
      <c r="C280" s="152"/>
      <c r="D280" s="133"/>
      <c r="E280" s="166"/>
      <c r="F280" s="275"/>
      <c r="G280" s="275"/>
      <c r="H280" s="275"/>
      <c r="I280" s="276"/>
      <c r="J280" s="276"/>
      <c r="K280" s="276"/>
      <c r="L280" s="276"/>
      <c r="M280" s="276"/>
      <c r="N280" s="277"/>
      <c r="O280" s="277"/>
      <c r="P280" s="277"/>
      <c r="Q280" s="277"/>
      <c r="S280" s="277"/>
      <c r="T280" s="277"/>
      <c r="V280" s="154"/>
      <c r="W280" s="154"/>
      <c r="X280" s="154"/>
      <c r="Y280" s="154"/>
      <c r="Z280" s="154"/>
      <c r="AA280" s="154"/>
    </row>
    <row r="281" spans="1:27" s="278" customFormat="1" x14ac:dyDescent="0.25">
      <c r="A281" s="143"/>
      <c r="B281" s="139"/>
      <c r="C281" s="152"/>
      <c r="D281" s="133"/>
      <c r="E281" s="166"/>
      <c r="F281" s="275"/>
      <c r="G281" s="275"/>
      <c r="H281" s="275"/>
      <c r="I281" s="276"/>
      <c r="J281" s="276"/>
      <c r="K281" s="276"/>
      <c r="L281" s="276"/>
      <c r="M281" s="276"/>
      <c r="N281" s="277"/>
      <c r="O281" s="277"/>
      <c r="P281" s="277"/>
      <c r="Q281" s="277"/>
      <c r="S281" s="277"/>
      <c r="T281" s="277"/>
      <c r="V281" s="154"/>
      <c r="W281" s="154"/>
      <c r="X281" s="154"/>
      <c r="Y281" s="154"/>
      <c r="Z281" s="154"/>
      <c r="AA281" s="154"/>
    </row>
    <row r="282" spans="1:27" s="278" customFormat="1" x14ac:dyDescent="0.25">
      <c r="A282" s="143"/>
      <c r="B282" s="139"/>
      <c r="C282" s="152"/>
      <c r="D282" s="133"/>
      <c r="E282" s="166"/>
      <c r="F282" s="275"/>
      <c r="G282" s="275"/>
      <c r="H282" s="275"/>
      <c r="I282" s="276"/>
      <c r="J282" s="276"/>
      <c r="K282" s="276"/>
      <c r="L282" s="276"/>
      <c r="M282" s="276"/>
      <c r="N282" s="277"/>
      <c r="O282" s="277"/>
      <c r="P282" s="277"/>
      <c r="Q282" s="277"/>
      <c r="S282" s="277"/>
      <c r="T282" s="277"/>
      <c r="V282" s="154"/>
      <c r="W282" s="154"/>
      <c r="X282" s="154"/>
      <c r="Y282" s="154"/>
      <c r="Z282" s="154"/>
      <c r="AA282" s="154"/>
    </row>
    <row r="283" spans="1:27" s="278" customFormat="1" x14ac:dyDescent="0.25">
      <c r="A283" s="143"/>
      <c r="B283" s="139"/>
      <c r="C283" s="152"/>
      <c r="D283" s="133"/>
      <c r="E283" s="166"/>
      <c r="F283" s="275"/>
      <c r="G283" s="275"/>
      <c r="H283" s="275"/>
      <c r="I283" s="276"/>
      <c r="J283" s="276"/>
      <c r="K283" s="276"/>
      <c r="L283" s="276"/>
      <c r="M283" s="276"/>
      <c r="N283" s="277"/>
      <c r="O283" s="277"/>
      <c r="P283" s="277"/>
      <c r="Q283" s="277"/>
      <c r="S283" s="277"/>
      <c r="T283" s="277"/>
      <c r="V283" s="154"/>
      <c r="W283" s="154"/>
      <c r="X283" s="154"/>
      <c r="Y283" s="154"/>
      <c r="Z283" s="154"/>
      <c r="AA283" s="154"/>
    </row>
    <row r="284" spans="1:27" s="278" customFormat="1" x14ac:dyDescent="0.25">
      <c r="A284" s="143"/>
      <c r="B284" s="139"/>
      <c r="C284" s="152"/>
      <c r="D284" s="133"/>
      <c r="E284" s="166"/>
      <c r="F284" s="275"/>
      <c r="G284" s="275"/>
      <c r="H284" s="275"/>
      <c r="I284" s="276"/>
      <c r="J284" s="276"/>
      <c r="K284" s="276"/>
      <c r="L284" s="276"/>
      <c r="M284" s="276"/>
      <c r="N284" s="277"/>
      <c r="O284" s="277"/>
      <c r="P284" s="277"/>
      <c r="Q284" s="277"/>
      <c r="S284" s="277"/>
      <c r="T284" s="277"/>
      <c r="V284" s="154"/>
      <c r="W284" s="154"/>
      <c r="X284" s="154"/>
      <c r="Y284" s="154"/>
      <c r="Z284" s="154"/>
      <c r="AA284" s="154"/>
    </row>
    <row r="285" spans="1:27" s="278" customFormat="1" x14ac:dyDescent="0.25">
      <c r="A285" s="143"/>
      <c r="B285" s="139"/>
      <c r="C285" s="152"/>
      <c r="D285" s="133"/>
      <c r="E285" s="166"/>
      <c r="F285" s="275"/>
      <c r="G285" s="275"/>
      <c r="H285" s="275"/>
      <c r="I285" s="276"/>
      <c r="J285" s="276"/>
      <c r="K285" s="276"/>
      <c r="L285" s="276"/>
      <c r="M285" s="276"/>
      <c r="N285" s="277"/>
      <c r="O285" s="277"/>
      <c r="P285" s="277"/>
      <c r="Q285" s="277"/>
      <c r="S285" s="277"/>
      <c r="T285" s="277"/>
      <c r="V285" s="154"/>
      <c r="W285" s="154"/>
      <c r="X285" s="154"/>
      <c r="Y285" s="154"/>
      <c r="Z285" s="154"/>
      <c r="AA285" s="154"/>
    </row>
    <row r="286" spans="1:27" s="278" customFormat="1" x14ac:dyDescent="0.25">
      <c r="A286" s="143"/>
      <c r="B286" s="139"/>
      <c r="C286" s="152"/>
      <c r="D286" s="133"/>
      <c r="E286" s="166"/>
      <c r="F286" s="275"/>
      <c r="G286" s="275"/>
      <c r="H286" s="275"/>
      <c r="I286" s="276"/>
      <c r="J286" s="276"/>
      <c r="K286" s="276"/>
      <c r="L286" s="276"/>
      <c r="M286" s="276"/>
      <c r="N286" s="277"/>
      <c r="O286" s="277"/>
      <c r="P286" s="277"/>
      <c r="Q286" s="277"/>
      <c r="S286" s="277"/>
      <c r="T286" s="277"/>
      <c r="V286" s="154"/>
      <c r="W286" s="154"/>
      <c r="X286" s="154"/>
      <c r="Y286" s="154"/>
      <c r="Z286" s="154"/>
      <c r="AA286" s="154"/>
    </row>
    <row r="287" spans="1:27" s="278" customFormat="1" x14ac:dyDescent="0.25">
      <c r="A287" s="143"/>
      <c r="B287" s="139"/>
      <c r="C287" s="152"/>
      <c r="D287" s="133"/>
      <c r="E287" s="166"/>
      <c r="F287" s="275"/>
      <c r="G287" s="275"/>
      <c r="H287" s="275"/>
      <c r="I287" s="276"/>
      <c r="J287" s="276"/>
      <c r="K287" s="276"/>
      <c r="L287" s="276"/>
      <c r="M287" s="276"/>
      <c r="N287" s="277"/>
      <c r="O287" s="277"/>
      <c r="P287" s="277"/>
      <c r="Q287" s="277"/>
      <c r="S287" s="277"/>
      <c r="T287" s="277"/>
      <c r="V287" s="154"/>
      <c r="W287" s="154"/>
      <c r="X287" s="154"/>
      <c r="Y287" s="154"/>
      <c r="Z287" s="154"/>
      <c r="AA287" s="154"/>
    </row>
    <row r="288" spans="1:27" s="278" customFormat="1" x14ac:dyDescent="0.25">
      <c r="A288" s="143"/>
      <c r="B288" s="139"/>
      <c r="C288" s="152"/>
      <c r="D288" s="133"/>
      <c r="E288" s="166"/>
      <c r="F288" s="275"/>
      <c r="G288" s="275"/>
      <c r="H288" s="275"/>
      <c r="I288" s="276"/>
      <c r="J288" s="276"/>
      <c r="K288" s="276"/>
      <c r="L288" s="276"/>
      <c r="M288" s="276"/>
      <c r="N288" s="277"/>
      <c r="O288" s="277"/>
      <c r="P288" s="277"/>
      <c r="Q288" s="277"/>
      <c r="S288" s="277"/>
      <c r="T288" s="277"/>
      <c r="V288" s="154"/>
      <c r="W288" s="154"/>
      <c r="X288" s="154"/>
      <c r="Y288" s="154"/>
      <c r="Z288" s="154"/>
      <c r="AA288" s="154"/>
    </row>
    <row r="289" spans="1:27" s="278" customFormat="1" x14ac:dyDescent="0.25">
      <c r="A289" s="143"/>
      <c r="B289" s="139"/>
      <c r="C289" s="152"/>
      <c r="D289" s="133"/>
      <c r="E289" s="166"/>
      <c r="F289" s="275"/>
      <c r="G289" s="275"/>
      <c r="H289" s="275"/>
      <c r="I289" s="276"/>
      <c r="J289" s="276"/>
      <c r="K289" s="276"/>
      <c r="L289" s="276"/>
      <c r="M289" s="276"/>
      <c r="N289" s="277"/>
      <c r="O289" s="277"/>
      <c r="P289" s="277"/>
      <c r="Q289" s="277"/>
      <c r="S289" s="277"/>
      <c r="T289" s="277"/>
      <c r="V289" s="154"/>
      <c r="W289" s="154"/>
      <c r="X289" s="154"/>
      <c r="Y289" s="154"/>
      <c r="Z289" s="154"/>
      <c r="AA289" s="154"/>
    </row>
    <row r="290" spans="1:27" s="278" customFormat="1" x14ac:dyDescent="0.25">
      <c r="A290" s="143"/>
      <c r="B290" s="139"/>
      <c r="C290" s="152"/>
      <c r="D290" s="133"/>
      <c r="E290" s="166"/>
      <c r="F290" s="275"/>
      <c r="G290" s="275"/>
      <c r="H290" s="275"/>
      <c r="I290" s="276"/>
      <c r="J290" s="276"/>
      <c r="K290" s="276"/>
      <c r="L290" s="276"/>
      <c r="M290" s="276"/>
      <c r="N290" s="277"/>
      <c r="O290" s="277"/>
      <c r="P290" s="277"/>
      <c r="Q290" s="277"/>
      <c r="S290" s="277"/>
      <c r="T290" s="277"/>
      <c r="V290" s="154"/>
      <c r="W290" s="154"/>
      <c r="X290" s="154"/>
      <c r="Y290" s="154"/>
      <c r="Z290" s="154"/>
      <c r="AA290" s="154"/>
    </row>
    <row r="291" spans="1:27" s="278" customFormat="1" x14ac:dyDescent="0.25">
      <c r="A291" s="143"/>
      <c r="B291" s="139"/>
      <c r="C291" s="152"/>
      <c r="D291" s="133"/>
      <c r="E291" s="166"/>
      <c r="F291" s="275"/>
      <c r="G291" s="275"/>
      <c r="H291" s="275"/>
      <c r="I291" s="276"/>
      <c r="J291" s="276"/>
      <c r="K291" s="276"/>
      <c r="L291" s="276"/>
      <c r="M291" s="276"/>
      <c r="N291" s="277"/>
      <c r="O291" s="277"/>
      <c r="P291" s="277"/>
      <c r="Q291" s="277"/>
      <c r="S291" s="277"/>
      <c r="T291" s="277"/>
      <c r="V291" s="154"/>
      <c r="W291" s="154"/>
      <c r="X291" s="154"/>
      <c r="Y291" s="154"/>
      <c r="Z291" s="154"/>
      <c r="AA291" s="154"/>
    </row>
    <row r="292" spans="1:27" s="278" customFormat="1" x14ac:dyDescent="0.25">
      <c r="A292" s="143"/>
      <c r="B292" s="139"/>
      <c r="C292" s="152"/>
      <c r="D292" s="133"/>
      <c r="E292" s="166"/>
      <c r="F292" s="275"/>
      <c r="G292" s="275"/>
      <c r="H292" s="275"/>
      <c r="I292" s="276"/>
      <c r="J292" s="276"/>
      <c r="K292" s="276"/>
      <c r="L292" s="276"/>
      <c r="M292" s="276"/>
      <c r="N292" s="277"/>
      <c r="O292" s="277"/>
      <c r="P292" s="277"/>
      <c r="Q292" s="277"/>
      <c r="S292" s="277"/>
      <c r="T292" s="277"/>
      <c r="V292" s="154"/>
      <c r="W292" s="154"/>
      <c r="X292" s="154"/>
      <c r="Y292" s="154"/>
      <c r="Z292" s="154"/>
      <c r="AA292" s="154"/>
    </row>
    <row r="293" spans="1:27" s="278" customFormat="1" x14ac:dyDescent="0.25">
      <c r="A293" s="143"/>
      <c r="B293" s="139"/>
      <c r="C293" s="152"/>
      <c r="D293" s="133"/>
      <c r="E293" s="166"/>
      <c r="F293" s="275"/>
      <c r="G293" s="275"/>
      <c r="H293" s="275"/>
      <c r="I293" s="276"/>
      <c r="J293" s="276"/>
      <c r="K293" s="276"/>
      <c r="L293" s="276"/>
      <c r="M293" s="276"/>
      <c r="N293" s="277"/>
      <c r="O293" s="277"/>
      <c r="P293" s="277"/>
      <c r="Q293" s="277"/>
      <c r="S293" s="277"/>
      <c r="T293" s="277"/>
      <c r="V293" s="154"/>
      <c r="W293" s="154"/>
      <c r="X293" s="154"/>
      <c r="Y293" s="154"/>
      <c r="Z293" s="154"/>
      <c r="AA293" s="154"/>
    </row>
    <row r="294" spans="1:27" s="278" customFormat="1" x14ac:dyDescent="0.25">
      <c r="A294" s="143"/>
      <c r="B294" s="139"/>
      <c r="C294" s="152"/>
      <c r="D294" s="133"/>
      <c r="E294" s="166"/>
      <c r="F294" s="275"/>
      <c r="G294" s="275"/>
      <c r="H294" s="275"/>
      <c r="I294" s="276"/>
      <c r="J294" s="276"/>
      <c r="K294" s="276"/>
      <c r="L294" s="276"/>
      <c r="M294" s="276"/>
      <c r="N294" s="277"/>
      <c r="O294" s="277"/>
      <c r="P294" s="277"/>
      <c r="Q294" s="277"/>
      <c r="S294" s="277"/>
      <c r="T294" s="277"/>
      <c r="V294" s="154"/>
      <c r="W294" s="154"/>
      <c r="X294" s="154"/>
      <c r="Y294" s="154"/>
      <c r="Z294" s="154"/>
      <c r="AA294" s="154"/>
    </row>
    <row r="295" spans="1:27" s="278" customFormat="1" x14ac:dyDescent="0.25">
      <c r="A295" s="143"/>
      <c r="B295" s="139"/>
      <c r="C295" s="152"/>
      <c r="D295" s="133"/>
      <c r="E295" s="166"/>
      <c r="F295" s="275"/>
      <c r="G295" s="275"/>
      <c r="H295" s="275"/>
      <c r="I295" s="276"/>
      <c r="J295" s="276"/>
      <c r="K295" s="276"/>
      <c r="L295" s="276"/>
      <c r="M295" s="276"/>
      <c r="N295" s="277"/>
      <c r="O295" s="277"/>
      <c r="P295" s="277"/>
      <c r="Q295" s="277"/>
      <c r="S295" s="277"/>
      <c r="T295" s="277"/>
      <c r="V295" s="154"/>
      <c r="W295" s="154"/>
      <c r="X295" s="154"/>
      <c r="Y295" s="154"/>
      <c r="Z295" s="154"/>
      <c r="AA295" s="154"/>
    </row>
    <row r="296" spans="1:27" s="278" customFormat="1" x14ac:dyDescent="0.25">
      <c r="A296" s="143"/>
      <c r="B296" s="139"/>
      <c r="C296" s="152"/>
      <c r="D296" s="133"/>
      <c r="E296" s="166"/>
      <c r="F296" s="275"/>
      <c r="G296" s="275"/>
      <c r="H296" s="275"/>
      <c r="I296" s="276"/>
      <c r="J296" s="276"/>
      <c r="K296" s="276"/>
      <c r="L296" s="276"/>
      <c r="M296" s="276"/>
      <c r="N296" s="277"/>
      <c r="O296" s="277"/>
      <c r="P296" s="277"/>
      <c r="Q296" s="277"/>
      <c r="S296" s="277"/>
      <c r="T296" s="277"/>
      <c r="V296" s="154"/>
      <c r="W296" s="154"/>
      <c r="X296" s="154"/>
      <c r="Y296" s="154"/>
      <c r="Z296" s="154"/>
      <c r="AA296" s="154"/>
    </row>
    <row r="297" spans="1:27" s="278" customFormat="1" x14ac:dyDescent="0.25">
      <c r="A297" s="143"/>
      <c r="B297" s="139"/>
      <c r="C297" s="152"/>
      <c r="D297" s="133"/>
      <c r="E297" s="166"/>
      <c r="F297" s="275"/>
      <c r="G297" s="275"/>
      <c r="H297" s="275"/>
      <c r="I297" s="276"/>
      <c r="J297" s="276"/>
      <c r="K297" s="276"/>
      <c r="L297" s="276"/>
      <c r="M297" s="276"/>
      <c r="N297" s="277"/>
      <c r="O297" s="277"/>
      <c r="P297" s="277"/>
      <c r="Q297" s="277"/>
      <c r="S297" s="277"/>
      <c r="T297" s="277"/>
      <c r="V297" s="154"/>
      <c r="W297" s="154"/>
      <c r="X297" s="154"/>
      <c r="Y297" s="154"/>
      <c r="Z297" s="154"/>
      <c r="AA297" s="154"/>
    </row>
    <row r="298" spans="1:27" s="278" customFormat="1" x14ac:dyDescent="0.25">
      <c r="A298" s="143"/>
      <c r="B298" s="139"/>
      <c r="C298" s="152"/>
      <c r="D298" s="133"/>
      <c r="E298" s="166"/>
      <c r="F298" s="275"/>
      <c r="G298" s="275"/>
      <c r="H298" s="275"/>
      <c r="I298" s="276"/>
      <c r="J298" s="276"/>
      <c r="K298" s="276"/>
      <c r="L298" s="276"/>
      <c r="M298" s="276"/>
      <c r="N298" s="277"/>
      <c r="O298" s="277"/>
      <c r="P298" s="277"/>
      <c r="Q298" s="277"/>
      <c r="S298" s="277"/>
      <c r="T298" s="277"/>
      <c r="V298" s="154"/>
      <c r="W298" s="154"/>
      <c r="X298" s="154"/>
      <c r="Y298" s="154"/>
      <c r="Z298" s="154"/>
      <c r="AA298" s="154"/>
    </row>
    <row r="299" spans="1:27" s="278" customFormat="1" x14ac:dyDescent="0.25">
      <c r="A299" s="143"/>
      <c r="B299" s="139"/>
      <c r="C299" s="152"/>
      <c r="D299" s="133"/>
      <c r="E299" s="166"/>
      <c r="F299" s="275"/>
      <c r="G299" s="275"/>
      <c r="H299" s="275"/>
      <c r="I299" s="276"/>
      <c r="J299" s="276"/>
      <c r="K299" s="276"/>
      <c r="L299" s="276"/>
      <c r="M299" s="276"/>
      <c r="N299" s="277"/>
      <c r="O299" s="277"/>
      <c r="P299" s="277"/>
      <c r="Q299" s="277"/>
      <c r="S299" s="277"/>
      <c r="T299" s="277"/>
      <c r="V299" s="154"/>
      <c r="W299" s="154"/>
      <c r="X299" s="154"/>
      <c r="Y299" s="154"/>
      <c r="Z299" s="154"/>
      <c r="AA299" s="154"/>
    </row>
    <row r="300" spans="1:27" s="278" customFormat="1" x14ac:dyDescent="0.25">
      <c r="A300" s="143"/>
      <c r="B300" s="139"/>
      <c r="C300" s="152"/>
      <c r="D300" s="133"/>
      <c r="E300" s="166"/>
      <c r="F300" s="275"/>
      <c r="G300" s="275"/>
      <c r="H300" s="275"/>
      <c r="I300" s="276"/>
      <c r="J300" s="276"/>
      <c r="K300" s="276"/>
      <c r="L300" s="276"/>
      <c r="M300" s="276"/>
      <c r="N300" s="277"/>
      <c r="O300" s="277"/>
      <c r="P300" s="277"/>
      <c r="Q300" s="277"/>
      <c r="S300" s="277"/>
      <c r="T300" s="277"/>
      <c r="V300" s="154"/>
      <c r="W300" s="154"/>
      <c r="X300" s="154"/>
      <c r="Y300" s="154"/>
      <c r="Z300" s="154"/>
      <c r="AA300" s="154"/>
    </row>
    <row r="301" spans="1:27" s="278" customFormat="1" x14ac:dyDescent="0.25">
      <c r="A301" s="143"/>
      <c r="B301" s="139"/>
      <c r="C301" s="152"/>
      <c r="D301" s="133"/>
      <c r="E301" s="166"/>
      <c r="F301" s="275"/>
      <c r="G301" s="275"/>
      <c r="H301" s="275"/>
      <c r="I301" s="276"/>
      <c r="J301" s="276"/>
      <c r="K301" s="276"/>
      <c r="L301" s="276"/>
      <c r="M301" s="276"/>
      <c r="N301" s="277"/>
      <c r="O301" s="277"/>
      <c r="P301" s="277"/>
      <c r="Q301" s="277"/>
      <c r="S301" s="277"/>
      <c r="T301" s="277"/>
      <c r="V301" s="154"/>
      <c r="W301" s="154"/>
      <c r="X301" s="154"/>
      <c r="Y301" s="154"/>
      <c r="Z301" s="154"/>
      <c r="AA301" s="154"/>
    </row>
    <row r="302" spans="1:27" s="278" customFormat="1" x14ac:dyDescent="0.25">
      <c r="A302" s="143"/>
      <c r="B302" s="139"/>
      <c r="C302" s="152"/>
      <c r="D302" s="133"/>
      <c r="E302" s="166"/>
      <c r="F302" s="275"/>
      <c r="G302" s="275"/>
      <c r="H302" s="275"/>
      <c r="I302" s="276"/>
      <c r="J302" s="276"/>
      <c r="K302" s="276"/>
      <c r="L302" s="276"/>
      <c r="M302" s="276"/>
      <c r="N302" s="277"/>
      <c r="O302" s="277"/>
      <c r="P302" s="277"/>
      <c r="Q302" s="277"/>
      <c r="S302" s="277"/>
      <c r="T302" s="277"/>
      <c r="V302" s="154"/>
      <c r="W302" s="154"/>
      <c r="X302" s="154"/>
      <c r="Y302" s="154"/>
      <c r="Z302" s="154"/>
      <c r="AA302" s="154"/>
    </row>
    <row r="303" spans="1:27" s="278" customFormat="1" x14ac:dyDescent="0.25">
      <c r="A303" s="143"/>
      <c r="B303" s="139"/>
      <c r="C303" s="152"/>
      <c r="D303" s="133"/>
      <c r="E303" s="166"/>
      <c r="F303" s="275"/>
      <c r="G303" s="275"/>
      <c r="H303" s="275"/>
      <c r="I303" s="276"/>
      <c r="J303" s="276"/>
      <c r="K303" s="276"/>
      <c r="L303" s="276"/>
      <c r="M303" s="276"/>
      <c r="N303" s="277"/>
      <c r="O303" s="277"/>
      <c r="P303" s="277"/>
      <c r="Q303" s="277"/>
      <c r="S303" s="277"/>
      <c r="T303" s="277"/>
      <c r="V303" s="154"/>
      <c r="W303" s="154"/>
      <c r="X303" s="154"/>
      <c r="Y303" s="154"/>
      <c r="Z303" s="154"/>
      <c r="AA303" s="154"/>
    </row>
    <row r="304" spans="1:27" s="278" customFormat="1" x14ac:dyDescent="0.25">
      <c r="A304" s="143"/>
      <c r="B304" s="139"/>
      <c r="C304" s="152"/>
      <c r="D304" s="133"/>
      <c r="E304" s="166"/>
      <c r="F304" s="275"/>
      <c r="G304" s="275"/>
      <c r="H304" s="275"/>
      <c r="I304" s="276"/>
      <c r="J304" s="276"/>
      <c r="K304" s="276"/>
      <c r="L304" s="276"/>
      <c r="M304" s="276"/>
      <c r="N304" s="277"/>
      <c r="O304" s="277"/>
      <c r="P304" s="277"/>
      <c r="Q304" s="277"/>
      <c r="S304" s="277"/>
      <c r="T304" s="277"/>
      <c r="V304" s="154"/>
      <c r="W304" s="154"/>
      <c r="X304" s="154"/>
      <c r="Y304" s="154"/>
      <c r="Z304" s="154"/>
      <c r="AA304" s="154"/>
    </row>
    <row r="305" spans="1:27" s="278" customFormat="1" x14ac:dyDescent="0.25">
      <c r="A305" s="143"/>
      <c r="B305" s="139"/>
      <c r="C305" s="152"/>
      <c r="D305" s="133"/>
      <c r="E305" s="166"/>
      <c r="F305" s="275"/>
      <c r="G305" s="275"/>
      <c r="H305" s="275"/>
      <c r="I305" s="276"/>
      <c r="J305" s="276"/>
      <c r="K305" s="276"/>
      <c r="L305" s="276"/>
      <c r="M305" s="276"/>
      <c r="N305" s="277"/>
      <c r="O305" s="277"/>
      <c r="P305" s="277"/>
      <c r="Q305" s="277"/>
      <c r="S305" s="277"/>
      <c r="T305" s="277"/>
      <c r="V305" s="154"/>
      <c r="W305" s="154"/>
      <c r="X305" s="154"/>
      <c r="Y305" s="154"/>
      <c r="Z305" s="154"/>
      <c r="AA305" s="154"/>
    </row>
    <row r="306" spans="1:27" s="278" customFormat="1" x14ac:dyDescent="0.25">
      <c r="A306" s="143"/>
      <c r="B306" s="139"/>
      <c r="C306" s="152"/>
      <c r="D306" s="133"/>
      <c r="E306" s="166"/>
      <c r="F306" s="275"/>
      <c r="G306" s="275"/>
      <c r="H306" s="275"/>
      <c r="I306" s="276"/>
      <c r="J306" s="276"/>
      <c r="K306" s="276"/>
      <c r="L306" s="276"/>
      <c r="M306" s="276"/>
      <c r="N306" s="277"/>
      <c r="O306" s="277"/>
      <c r="P306" s="277"/>
      <c r="Q306" s="277"/>
      <c r="S306" s="277"/>
      <c r="T306" s="277"/>
      <c r="V306" s="154"/>
      <c r="W306" s="154"/>
      <c r="X306" s="154"/>
      <c r="Y306" s="154"/>
      <c r="Z306" s="154"/>
      <c r="AA306" s="154"/>
    </row>
    <row r="307" spans="1:27" s="278" customFormat="1" x14ac:dyDescent="0.25">
      <c r="A307" s="143"/>
      <c r="B307" s="139"/>
      <c r="C307" s="152"/>
      <c r="D307" s="133"/>
      <c r="E307" s="166"/>
      <c r="F307" s="275"/>
      <c r="G307" s="275"/>
      <c r="H307" s="275"/>
      <c r="I307" s="276"/>
      <c r="J307" s="276"/>
      <c r="K307" s="276"/>
      <c r="L307" s="276"/>
      <c r="M307" s="276"/>
      <c r="N307" s="277"/>
      <c r="O307" s="277"/>
      <c r="P307" s="277"/>
      <c r="Q307" s="277"/>
      <c r="S307" s="277"/>
      <c r="T307" s="277"/>
      <c r="V307" s="154"/>
      <c r="W307" s="154"/>
      <c r="X307" s="154"/>
      <c r="Y307" s="154"/>
      <c r="Z307" s="154"/>
      <c r="AA307" s="154"/>
    </row>
    <row r="308" spans="1:27" s="278" customFormat="1" x14ac:dyDescent="0.25">
      <c r="A308" s="143"/>
      <c r="B308" s="139"/>
      <c r="C308" s="152"/>
      <c r="D308" s="133"/>
      <c r="E308" s="166"/>
      <c r="F308" s="275"/>
      <c r="G308" s="275"/>
      <c r="H308" s="275"/>
      <c r="I308" s="276"/>
      <c r="J308" s="276"/>
      <c r="K308" s="276"/>
      <c r="L308" s="276"/>
      <c r="M308" s="276"/>
      <c r="N308" s="277"/>
      <c r="O308" s="277"/>
      <c r="P308" s="277"/>
      <c r="Q308" s="277"/>
      <c r="S308" s="277"/>
      <c r="T308" s="277"/>
      <c r="V308" s="154"/>
      <c r="W308" s="154"/>
      <c r="X308" s="154"/>
      <c r="Y308" s="154"/>
      <c r="Z308" s="154"/>
      <c r="AA308" s="154"/>
    </row>
    <row r="309" spans="1:27" s="278" customFormat="1" x14ac:dyDescent="0.25">
      <c r="A309" s="143"/>
      <c r="B309" s="139"/>
      <c r="C309" s="152"/>
      <c r="D309" s="133"/>
      <c r="E309" s="166"/>
      <c r="F309" s="275"/>
      <c r="G309" s="275"/>
      <c r="H309" s="275"/>
      <c r="I309" s="276"/>
      <c r="J309" s="276"/>
      <c r="K309" s="276"/>
      <c r="L309" s="276"/>
      <c r="M309" s="276"/>
      <c r="N309" s="277"/>
      <c r="O309" s="277"/>
      <c r="P309" s="277"/>
      <c r="Q309" s="277"/>
      <c r="S309" s="277"/>
      <c r="T309" s="277"/>
      <c r="V309" s="154"/>
      <c r="W309" s="154"/>
      <c r="X309" s="154"/>
      <c r="Y309" s="154"/>
      <c r="Z309" s="154"/>
      <c r="AA309" s="154"/>
    </row>
    <row r="310" spans="1:27" s="278" customFormat="1" x14ac:dyDescent="0.25">
      <c r="A310" s="143"/>
      <c r="B310" s="139"/>
      <c r="C310" s="152"/>
      <c r="D310" s="133"/>
      <c r="E310" s="166"/>
      <c r="F310" s="275"/>
      <c r="G310" s="275"/>
      <c r="H310" s="275"/>
      <c r="I310" s="276"/>
      <c r="J310" s="276"/>
      <c r="K310" s="276"/>
      <c r="L310" s="276"/>
      <c r="M310" s="276"/>
      <c r="N310" s="277"/>
      <c r="O310" s="277"/>
      <c r="P310" s="277"/>
      <c r="Q310" s="277"/>
      <c r="S310" s="277"/>
      <c r="T310" s="277"/>
      <c r="V310" s="154"/>
      <c r="W310" s="154"/>
      <c r="X310" s="154"/>
      <c r="Y310" s="154"/>
      <c r="Z310" s="154"/>
      <c r="AA310" s="154"/>
    </row>
    <row r="311" spans="1:27" s="278" customFormat="1" x14ac:dyDescent="0.25">
      <c r="A311" s="143"/>
      <c r="B311" s="139"/>
      <c r="C311" s="152"/>
      <c r="D311" s="133"/>
      <c r="E311" s="166"/>
      <c r="F311" s="275"/>
      <c r="G311" s="275"/>
      <c r="H311" s="275"/>
      <c r="I311" s="276"/>
      <c r="J311" s="276"/>
      <c r="K311" s="276"/>
      <c r="L311" s="276"/>
      <c r="M311" s="276"/>
      <c r="N311" s="277"/>
      <c r="O311" s="277"/>
      <c r="P311" s="277"/>
      <c r="Q311" s="277"/>
      <c r="S311" s="277"/>
      <c r="T311" s="277"/>
      <c r="V311" s="154"/>
      <c r="W311" s="154"/>
      <c r="X311" s="154"/>
      <c r="Y311" s="154"/>
      <c r="Z311" s="154"/>
      <c r="AA311" s="154"/>
    </row>
    <row r="312" spans="1:27" s="278" customFormat="1" x14ac:dyDescent="0.25">
      <c r="A312" s="143"/>
      <c r="B312" s="139"/>
      <c r="C312" s="152"/>
      <c r="D312" s="133"/>
      <c r="E312" s="166"/>
      <c r="F312" s="275"/>
      <c r="G312" s="275"/>
      <c r="H312" s="275"/>
      <c r="I312" s="276"/>
      <c r="J312" s="276"/>
      <c r="K312" s="276"/>
      <c r="L312" s="276"/>
      <c r="M312" s="276"/>
      <c r="N312" s="277"/>
      <c r="O312" s="277"/>
      <c r="P312" s="277"/>
      <c r="Q312" s="277"/>
      <c r="S312" s="277"/>
      <c r="T312" s="277"/>
      <c r="V312" s="154"/>
      <c r="W312" s="154"/>
      <c r="X312" s="154"/>
      <c r="Y312" s="154"/>
      <c r="Z312" s="154"/>
      <c r="AA312" s="154"/>
    </row>
    <row r="313" spans="1:27" s="278" customFormat="1" x14ac:dyDescent="0.25">
      <c r="A313" s="143"/>
      <c r="B313" s="139"/>
      <c r="C313" s="152"/>
      <c r="D313" s="133"/>
      <c r="E313" s="166"/>
      <c r="F313" s="275"/>
      <c r="G313" s="275"/>
      <c r="H313" s="275"/>
      <c r="I313" s="276"/>
      <c r="J313" s="276"/>
      <c r="K313" s="276"/>
      <c r="L313" s="276"/>
      <c r="M313" s="276"/>
      <c r="N313" s="277"/>
      <c r="O313" s="277"/>
      <c r="P313" s="277"/>
      <c r="Q313" s="277"/>
      <c r="S313" s="277"/>
      <c r="T313" s="277"/>
      <c r="V313" s="154"/>
      <c r="W313" s="154"/>
      <c r="X313" s="154"/>
      <c r="Y313" s="154"/>
      <c r="Z313" s="154"/>
      <c r="AA313" s="154"/>
    </row>
    <row r="314" spans="1:27" s="278" customFormat="1" x14ac:dyDescent="0.25">
      <c r="A314" s="143"/>
      <c r="B314" s="139"/>
      <c r="C314" s="152"/>
      <c r="D314" s="133"/>
      <c r="E314" s="166"/>
      <c r="F314" s="275"/>
      <c r="G314" s="275"/>
      <c r="H314" s="275"/>
      <c r="I314" s="276"/>
      <c r="J314" s="276"/>
      <c r="K314" s="276"/>
      <c r="L314" s="276"/>
      <c r="M314" s="276"/>
      <c r="N314" s="277"/>
      <c r="O314" s="277"/>
      <c r="P314" s="277"/>
      <c r="Q314" s="277"/>
      <c r="S314" s="277"/>
      <c r="T314" s="277"/>
      <c r="V314" s="154"/>
      <c r="W314" s="154"/>
      <c r="X314" s="154"/>
      <c r="Y314" s="154"/>
      <c r="Z314" s="154"/>
      <c r="AA314" s="154"/>
    </row>
    <row r="315" spans="1:27" s="278" customFormat="1" x14ac:dyDescent="0.25">
      <c r="A315" s="143"/>
      <c r="B315" s="139"/>
      <c r="C315" s="152"/>
      <c r="D315" s="133"/>
      <c r="E315" s="166"/>
      <c r="F315" s="275"/>
      <c r="G315" s="275"/>
      <c r="H315" s="275"/>
      <c r="I315" s="276"/>
      <c r="J315" s="276"/>
      <c r="K315" s="276"/>
      <c r="L315" s="276"/>
      <c r="M315" s="276"/>
      <c r="N315" s="277"/>
      <c r="O315" s="277"/>
      <c r="P315" s="277"/>
      <c r="Q315" s="277"/>
      <c r="S315" s="277"/>
      <c r="T315" s="277"/>
      <c r="V315" s="154"/>
      <c r="W315" s="154"/>
      <c r="X315" s="154"/>
      <c r="Y315" s="154"/>
      <c r="Z315" s="154"/>
      <c r="AA315" s="154"/>
    </row>
    <row r="316" spans="1:27" s="278" customFormat="1" x14ac:dyDescent="0.25">
      <c r="A316" s="143"/>
      <c r="B316" s="139"/>
      <c r="C316" s="152"/>
      <c r="D316" s="133"/>
      <c r="E316" s="166"/>
      <c r="F316" s="275"/>
      <c r="G316" s="275"/>
      <c r="H316" s="275"/>
      <c r="I316" s="276"/>
      <c r="J316" s="276"/>
      <c r="K316" s="276"/>
      <c r="L316" s="276"/>
      <c r="M316" s="276"/>
      <c r="N316" s="277"/>
      <c r="O316" s="277"/>
      <c r="P316" s="277"/>
      <c r="Q316" s="277"/>
      <c r="S316" s="277"/>
      <c r="T316" s="277"/>
      <c r="V316" s="154"/>
      <c r="W316" s="154"/>
      <c r="X316" s="154"/>
      <c r="Y316" s="154"/>
      <c r="Z316" s="154"/>
      <c r="AA316" s="154"/>
    </row>
    <row r="317" spans="1:27" s="278" customFormat="1" x14ac:dyDescent="0.25">
      <c r="A317" s="143"/>
      <c r="B317" s="139"/>
      <c r="C317" s="152"/>
      <c r="D317" s="133"/>
      <c r="E317" s="166"/>
      <c r="F317" s="275"/>
      <c r="G317" s="275"/>
      <c r="H317" s="275"/>
      <c r="I317" s="276"/>
      <c r="J317" s="276"/>
      <c r="K317" s="276"/>
      <c r="L317" s="276"/>
      <c r="M317" s="276"/>
      <c r="N317" s="277"/>
      <c r="O317" s="277"/>
      <c r="P317" s="277"/>
      <c r="Q317" s="277"/>
      <c r="S317" s="277"/>
      <c r="T317" s="277"/>
      <c r="V317" s="154"/>
      <c r="W317" s="154"/>
      <c r="X317" s="154"/>
      <c r="Y317" s="154"/>
      <c r="Z317" s="154"/>
      <c r="AA317" s="154"/>
    </row>
    <row r="318" spans="1:27" s="278" customFormat="1" x14ac:dyDescent="0.25">
      <c r="A318" s="143"/>
      <c r="B318" s="139"/>
      <c r="C318" s="152"/>
      <c r="D318" s="133"/>
      <c r="E318" s="166"/>
      <c r="F318" s="275"/>
      <c r="G318" s="275"/>
      <c r="H318" s="275"/>
      <c r="I318" s="276"/>
      <c r="J318" s="276"/>
      <c r="K318" s="276"/>
      <c r="L318" s="276"/>
      <c r="M318" s="276"/>
      <c r="N318" s="277"/>
      <c r="O318" s="277"/>
      <c r="P318" s="277"/>
      <c r="Q318" s="277"/>
      <c r="S318" s="277"/>
      <c r="T318" s="277"/>
      <c r="V318" s="154"/>
      <c r="W318" s="154"/>
      <c r="X318" s="154"/>
      <c r="Y318" s="154"/>
      <c r="Z318" s="154"/>
      <c r="AA318" s="154"/>
    </row>
    <row r="319" spans="1:27" s="278" customFormat="1" x14ac:dyDescent="0.25">
      <c r="A319" s="143"/>
      <c r="B319" s="139"/>
      <c r="C319" s="152"/>
      <c r="D319" s="133"/>
      <c r="E319" s="166"/>
      <c r="F319" s="275"/>
      <c r="G319" s="275"/>
      <c r="H319" s="275"/>
      <c r="I319" s="276"/>
      <c r="J319" s="276"/>
      <c r="K319" s="276"/>
      <c r="L319" s="276"/>
      <c r="M319" s="276"/>
      <c r="N319" s="277"/>
      <c r="O319" s="277"/>
      <c r="P319" s="277"/>
      <c r="Q319" s="277"/>
      <c r="S319" s="277"/>
      <c r="T319" s="277"/>
      <c r="V319" s="154"/>
      <c r="W319" s="154"/>
      <c r="X319" s="154"/>
      <c r="Y319" s="154"/>
      <c r="Z319" s="154"/>
      <c r="AA319" s="154"/>
    </row>
    <row r="320" spans="1:27" s="278" customFormat="1" x14ac:dyDescent="0.25">
      <c r="A320" s="143"/>
      <c r="B320" s="139"/>
      <c r="C320" s="152"/>
      <c r="D320" s="133"/>
      <c r="E320" s="166"/>
      <c r="F320" s="275"/>
      <c r="G320" s="275"/>
      <c r="H320" s="275"/>
      <c r="I320" s="276"/>
      <c r="J320" s="276"/>
      <c r="K320" s="276"/>
      <c r="L320" s="276"/>
      <c r="M320" s="276"/>
      <c r="N320" s="277"/>
      <c r="O320" s="277"/>
      <c r="P320" s="277"/>
      <c r="Q320" s="277"/>
      <c r="S320" s="277"/>
      <c r="T320" s="277"/>
      <c r="V320" s="154"/>
      <c r="W320" s="154"/>
      <c r="X320" s="154"/>
      <c r="Y320" s="154"/>
      <c r="Z320" s="154"/>
      <c r="AA320" s="154"/>
    </row>
    <row r="321" spans="1:27" s="278" customFormat="1" x14ac:dyDescent="0.25">
      <c r="A321" s="143"/>
      <c r="B321" s="139"/>
      <c r="C321" s="152"/>
      <c r="D321" s="133"/>
      <c r="E321" s="166"/>
      <c r="F321" s="275"/>
      <c r="G321" s="275"/>
      <c r="H321" s="275"/>
      <c r="I321" s="276"/>
      <c r="J321" s="276"/>
      <c r="K321" s="276"/>
      <c r="L321" s="276"/>
      <c r="M321" s="276"/>
      <c r="N321" s="277"/>
      <c r="O321" s="277"/>
      <c r="P321" s="277"/>
      <c r="Q321" s="277"/>
      <c r="S321" s="277"/>
      <c r="T321" s="277"/>
      <c r="V321" s="154"/>
      <c r="W321" s="154"/>
      <c r="X321" s="154"/>
      <c r="Y321" s="154"/>
      <c r="Z321" s="154"/>
      <c r="AA321" s="154"/>
    </row>
    <row r="322" spans="1:27" s="278" customFormat="1" x14ac:dyDescent="0.25">
      <c r="A322" s="143"/>
      <c r="B322" s="139"/>
      <c r="C322" s="152"/>
      <c r="D322" s="133"/>
      <c r="E322" s="166"/>
      <c r="F322" s="275"/>
      <c r="G322" s="275"/>
      <c r="H322" s="275"/>
      <c r="I322" s="276"/>
      <c r="J322" s="276"/>
      <c r="K322" s="276"/>
      <c r="L322" s="276"/>
      <c r="M322" s="276"/>
      <c r="N322" s="277"/>
      <c r="O322" s="277"/>
      <c r="P322" s="277"/>
      <c r="Q322" s="277"/>
      <c r="S322" s="277"/>
      <c r="T322" s="277"/>
      <c r="V322" s="154"/>
      <c r="W322" s="154"/>
      <c r="X322" s="154"/>
      <c r="Y322" s="154"/>
      <c r="Z322" s="154"/>
      <c r="AA322" s="154"/>
    </row>
    <row r="323" spans="1:27" s="278" customFormat="1" x14ac:dyDescent="0.25">
      <c r="A323" s="143"/>
      <c r="B323" s="139"/>
      <c r="C323" s="152"/>
      <c r="D323" s="133"/>
      <c r="E323" s="166"/>
      <c r="F323" s="275"/>
      <c r="G323" s="275"/>
      <c r="H323" s="275"/>
      <c r="I323" s="276"/>
      <c r="J323" s="276"/>
      <c r="K323" s="276"/>
      <c r="L323" s="276"/>
      <c r="M323" s="276"/>
      <c r="N323" s="277"/>
      <c r="O323" s="277"/>
      <c r="P323" s="277"/>
      <c r="Q323" s="277"/>
      <c r="S323" s="277"/>
      <c r="T323" s="277"/>
      <c r="V323" s="154"/>
      <c r="W323" s="154"/>
      <c r="X323" s="154"/>
      <c r="Y323" s="154"/>
      <c r="Z323" s="154"/>
      <c r="AA323" s="154"/>
    </row>
    <row r="324" spans="1:27" s="278" customFormat="1" x14ac:dyDescent="0.25">
      <c r="A324" s="143"/>
      <c r="B324" s="139"/>
      <c r="C324" s="152"/>
      <c r="D324" s="133"/>
      <c r="E324" s="166"/>
      <c r="F324" s="275"/>
      <c r="G324" s="275"/>
      <c r="H324" s="275"/>
      <c r="I324" s="276"/>
      <c r="J324" s="276"/>
      <c r="K324" s="276"/>
      <c r="L324" s="276"/>
      <c r="M324" s="276"/>
      <c r="N324" s="277"/>
      <c r="O324" s="277"/>
      <c r="P324" s="277"/>
      <c r="Q324" s="277"/>
      <c r="S324" s="277"/>
      <c r="T324" s="277"/>
      <c r="V324" s="154"/>
      <c r="W324" s="154"/>
      <c r="X324" s="154"/>
      <c r="Y324" s="154"/>
      <c r="Z324" s="154"/>
      <c r="AA324" s="154"/>
    </row>
    <row r="325" spans="1:27" s="278" customFormat="1" x14ac:dyDescent="0.25">
      <c r="A325" s="143"/>
      <c r="B325" s="139"/>
      <c r="C325" s="152"/>
      <c r="D325" s="133"/>
      <c r="E325" s="166"/>
      <c r="F325" s="275"/>
      <c r="G325" s="275"/>
      <c r="H325" s="275"/>
      <c r="I325" s="276"/>
      <c r="J325" s="276"/>
      <c r="K325" s="276"/>
      <c r="L325" s="276"/>
      <c r="M325" s="276"/>
      <c r="N325" s="277"/>
      <c r="O325" s="277"/>
      <c r="P325" s="277"/>
      <c r="Q325" s="277"/>
      <c r="S325" s="277"/>
      <c r="T325" s="277"/>
      <c r="V325" s="154"/>
      <c r="W325" s="154"/>
      <c r="X325" s="154"/>
      <c r="Y325" s="154"/>
      <c r="Z325" s="154"/>
      <c r="AA325" s="154"/>
    </row>
    <row r="326" spans="1:27" s="278" customFormat="1" x14ac:dyDescent="0.25">
      <c r="A326" s="143"/>
      <c r="B326" s="139"/>
      <c r="C326" s="152"/>
      <c r="D326" s="133"/>
      <c r="E326" s="166"/>
      <c r="F326" s="275"/>
      <c r="G326" s="275"/>
      <c r="H326" s="275"/>
      <c r="I326" s="276"/>
      <c r="J326" s="276"/>
      <c r="K326" s="276"/>
      <c r="L326" s="276"/>
      <c r="M326" s="276"/>
      <c r="N326" s="277"/>
      <c r="O326" s="277"/>
      <c r="P326" s="277"/>
      <c r="Q326" s="277"/>
      <c r="S326" s="277"/>
      <c r="T326" s="277"/>
      <c r="V326" s="154"/>
      <c r="W326" s="154"/>
      <c r="X326" s="154"/>
      <c r="Y326" s="154"/>
      <c r="Z326" s="154"/>
      <c r="AA326" s="154"/>
    </row>
    <row r="327" spans="1:27" s="278" customFormat="1" x14ac:dyDescent="0.25">
      <c r="A327" s="143"/>
      <c r="B327" s="139"/>
      <c r="C327" s="152"/>
      <c r="D327" s="133"/>
      <c r="E327" s="166"/>
      <c r="F327" s="275"/>
      <c r="G327" s="275"/>
      <c r="H327" s="275"/>
      <c r="I327" s="276"/>
      <c r="J327" s="276"/>
      <c r="K327" s="276"/>
      <c r="L327" s="276"/>
      <c r="M327" s="276"/>
      <c r="N327" s="277"/>
      <c r="O327" s="277"/>
      <c r="P327" s="277"/>
      <c r="Q327" s="277"/>
      <c r="S327" s="277"/>
      <c r="T327" s="277"/>
      <c r="V327" s="154"/>
      <c r="W327" s="154"/>
      <c r="X327" s="154"/>
      <c r="Y327" s="154"/>
      <c r="Z327" s="154"/>
      <c r="AA327" s="154"/>
    </row>
    <row r="328" spans="1:27" s="278" customFormat="1" x14ac:dyDescent="0.25">
      <c r="A328" s="143"/>
      <c r="B328" s="139"/>
      <c r="C328" s="152"/>
      <c r="D328" s="133"/>
      <c r="E328" s="166"/>
      <c r="F328" s="275"/>
      <c r="G328" s="275"/>
      <c r="H328" s="275"/>
      <c r="I328" s="276"/>
      <c r="J328" s="276"/>
      <c r="K328" s="276"/>
      <c r="L328" s="276"/>
      <c r="M328" s="276"/>
      <c r="N328" s="277"/>
      <c r="O328" s="277"/>
      <c r="P328" s="277"/>
      <c r="Q328" s="277"/>
      <c r="S328" s="277"/>
      <c r="T328" s="277"/>
      <c r="V328" s="154"/>
      <c r="W328" s="154"/>
      <c r="X328" s="154"/>
      <c r="Y328" s="154"/>
      <c r="Z328" s="154"/>
      <c r="AA328" s="154"/>
    </row>
    <row r="329" spans="1:27" s="278" customFormat="1" x14ac:dyDescent="0.25">
      <c r="A329" s="143"/>
      <c r="B329" s="139"/>
      <c r="C329" s="130"/>
      <c r="D329" s="133"/>
      <c r="E329" s="166"/>
      <c r="F329" s="275"/>
      <c r="G329" s="275"/>
      <c r="H329" s="275"/>
      <c r="I329" s="276"/>
      <c r="J329" s="276"/>
      <c r="K329" s="276"/>
      <c r="L329" s="276"/>
      <c r="M329" s="276"/>
      <c r="N329" s="277"/>
      <c r="O329" s="277"/>
      <c r="P329" s="277"/>
      <c r="Q329" s="277"/>
      <c r="S329" s="277"/>
      <c r="T329" s="277"/>
      <c r="V329" s="154"/>
      <c r="W329" s="154"/>
      <c r="X329" s="154"/>
      <c r="Y329" s="154"/>
      <c r="Z329" s="154"/>
      <c r="AA329" s="154"/>
    </row>
    <row r="330" spans="1:27" s="278" customFormat="1" x14ac:dyDescent="0.25">
      <c r="A330" s="143"/>
      <c r="B330" s="139"/>
      <c r="C330" s="130"/>
      <c r="D330" s="133"/>
      <c r="E330" s="166"/>
      <c r="F330" s="275"/>
      <c r="G330" s="275"/>
      <c r="H330" s="275"/>
      <c r="I330" s="276"/>
      <c r="J330" s="276"/>
      <c r="K330" s="276"/>
      <c r="L330" s="276"/>
      <c r="M330" s="276"/>
      <c r="N330" s="277"/>
      <c r="O330" s="277"/>
      <c r="P330" s="277"/>
      <c r="Q330" s="277"/>
      <c r="S330" s="277"/>
      <c r="T330" s="277"/>
      <c r="V330" s="154"/>
      <c r="W330" s="154"/>
      <c r="X330" s="154"/>
      <c r="Y330" s="154"/>
      <c r="Z330" s="154"/>
      <c r="AA330" s="154"/>
    </row>
    <row r="331" spans="1:27" s="278" customFormat="1" x14ac:dyDescent="0.25">
      <c r="A331" s="143"/>
      <c r="B331" s="139"/>
      <c r="C331" s="130"/>
      <c r="D331" s="133"/>
      <c r="E331" s="166"/>
      <c r="F331" s="275"/>
      <c r="G331" s="275"/>
      <c r="H331" s="275"/>
      <c r="I331" s="276"/>
      <c r="J331" s="276"/>
      <c r="K331" s="276"/>
      <c r="L331" s="276"/>
      <c r="M331" s="276"/>
      <c r="N331" s="277"/>
      <c r="O331" s="277"/>
      <c r="P331" s="277"/>
      <c r="Q331" s="277"/>
      <c r="S331" s="277"/>
      <c r="T331" s="277"/>
      <c r="V331" s="154"/>
      <c r="W331" s="154"/>
      <c r="X331" s="154"/>
      <c r="Y331" s="154"/>
      <c r="Z331" s="154"/>
      <c r="AA331" s="154"/>
    </row>
    <row r="332" spans="1:27" s="278" customFormat="1" x14ac:dyDescent="0.25">
      <c r="A332" s="143"/>
      <c r="B332" s="139"/>
      <c r="C332" s="130"/>
      <c r="D332" s="133"/>
      <c r="E332" s="166"/>
      <c r="F332" s="275"/>
      <c r="G332" s="275"/>
      <c r="H332" s="275"/>
      <c r="I332" s="276"/>
      <c r="J332" s="276"/>
      <c r="K332" s="276"/>
      <c r="L332" s="276"/>
      <c r="M332" s="276"/>
      <c r="N332" s="277"/>
      <c r="O332" s="277"/>
      <c r="P332" s="277"/>
      <c r="Q332" s="277"/>
      <c r="S332" s="277"/>
      <c r="T332" s="277"/>
      <c r="V332" s="154"/>
      <c r="W332" s="154"/>
      <c r="X332" s="154"/>
      <c r="Y332" s="154"/>
      <c r="Z332" s="154"/>
      <c r="AA332" s="154"/>
    </row>
    <row r="333" spans="1:27" s="278" customFormat="1" x14ac:dyDescent="0.25">
      <c r="A333" s="143"/>
      <c r="B333" s="139"/>
      <c r="C333" s="130"/>
      <c r="D333" s="133"/>
      <c r="E333" s="166"/>
      <c r="F333" s="275"/>
      <c r="G333" s="275"/>
      <c r="H333" s="275"/>
      <c r="I333" s="276"/>
      <c r="J333" s="276"/>
      <c r="K333" s="276"/>
      <c r="L333" s="276"/>
      <c r="M333" s="276"/>
      <c r="N333" s="277"/>
      <c r="O333" s="277"/>
      <c r="P333" s="277"/>
      <c r="Q333" s="277"/>
      <c r="S333" s="277"/>
      <c r="T333" s="277"/>
      <c r="V333" s="154"/>
      <c r="W333" s="154"/>
      <c r="X333" s="154"/>
      <c r="Y333" s="154"/>
      <c r="Z333" s="154"/>
      <c r="AA333" s="154"/>
    </row>
    <row r="334" spans="1:27" s="278" customFormat="1" x14ac:dyDescent="0.25">
      <c r="A334" s="143"/>
      <c r="B334" s="139"/>
      <c r="C334" s="130"/>
      <c r="D334" s="133"/>
      <c r="E334" s="166"/>
      <c r="F334" s="275"/>
      <c r="G334" s="275"/>
      <c r="H334" s="275"/>
      <c r="I334" s="276"/>
      <c r="J334" s="276"/>
      <c r="K334" s="276"/>
      <c r="L334" s="276"/>
      <c r="M334" s="276"/>
      <c r="N334" s="277"/>
      <c r="O334" s="277"/>
      <c r="P334" s="277"/>
      <c r="Q334" s="277"/>
      <c r="S334" s="277"/>
      <c r="T334" s="277"/>
      <c r="V334" s="154"/>
      <c r="W334" s="154"/>
      <c r="X334" s="154"/>
      <c r="Y334" s="154"/>
      <c r="Z334" s="154"/>
      <c r="AA334" s="154"/>
    </row>
    <row r="335" spans="1:27" s="278" customFormat="1" x14ac:dyDescent="0.25">
      <c r="A335" s="143"/>
      <c r="B335" s="139"/>
      <c r="C335" s="130"/>
      <c r="D335" s="133"/>
      <c r="E335" s="166"/>
      <c r="F335" s="275"/>
      <c r="G335" s="275"/>
      <c r="H335" s="275"/>
      <c r="I335" s="276"/>
      <c r="J335" s="276"/>
      <c r="K335" s="276"/>
      <c r="L335" s="276"/>
      <c r="M335" s="276"/>
      <c r="N335" s="277"/>
      <c r="O335" s="277"/>
      <c r="P335" s="277"/>
      <c r="Q335" s="277"/>
      <c r="S335" s="277"/>
      <c r="T335" s="277"/>
      <c r="V335" s="154"/>
      <c r="W335" s="154"/>
      <c r="X335" s="154"/>
      <c r="Y335" s="154"/>
      <c r="Z335" s="154"/>
      <c r="AA335" s="154"/>
    </row>
    <row r="336" spans="1:27" s="278" customFormat="1" x14ac:dyDescent="0.25">
      <c r="A336" s="143"/>
      <c r="B336" s="139"/>
      <c r="C336" s="130"/>
      <c r="D336" s="133"/>
      <c r="E336" s="166"/>
      <c r="F336" s="275"/>
      <c r="G336" s="275"/>
      <c r="H336" s="275"/>
      <c r="I336" s="276"/>
      <c r="J336" s="276"/>
      <c r="K336" s="276"/>
      <c r="L336" s="276"/>
      <c r="M336" s="276"/>
      <c r="N336" s="277"/>
      <c r="O336" s="277"/>
      <c r="P336" s="277"/>
      <c r="Q336" s="277"/>
      <c r="S336" s="277"/>
      <c r="T336" s="277"/>
      <c r="V336" s="154"/>
      <c r="W336" s="154"/>
      <c r="X336" s="154"/>
      <c r="Y336" s="154"/>
      <c r="Z336" s="154"/>
      <c r="AA336" s="154"/>
    </row>
    <row r="337" spans="1:27" s="278" customFormat="1" x14ac:dyDescent="0.25">
      <c r="A337" s="143"/>
      <c r="B337" s="139"/>
      <c r="C337" s="130"/>
      <c r="D337" s="133"/>
      <c r="E337" s="166"/>
      <c r="F337" s="275"/>
      <c r="G337" s="275"/>
      <c r="H337" s="275"/>
      <c r="I337" s="276"/>
      <c r="J337" s="276"/>
      <c r="K337" s="276"/>
      <c r="L337" s="276"/>
      <c r="M337" s="276"/>
      <c r="N337" s="277"/>
      <c r="O337" s="277"/>
      <c r="P337" s="277"/>
      <c r="Q337" s="277"/>
      <c r="S337" s="277"/>
      <c r="T337" s="277"/>
      <c r="V337" s="154"/>
      <c r="W337" s="154"/>
      <c r="X337" s="154"/>
      <c r="Y337" s="154"/>
      <c r="Z337" s="154"/>
      <c r="AA337" s="154"/>
    </row>
    <row r="338" spans="1:27" s="278" customFormat="1" x14ac:dyDescent="0.25">
      <c r="A338" s="143"/>
      <c r="B338" s="139"/>
      <c r="C338" s="130"/>
      <c r="D338" s="133"/>
      <c r="E338" s="166"/>
      <c r="F338" s="275"/>
      <c r="G338" s="275"/>
      <c r="H338" s="275"/>
      <c r="I338" s="276"/>
      <c r="J338" s="276"/>
      <c r="K338" s="276"/>
      <c r="L338" s="276"/>
      <c r="M338" s="276"/>
      <c r="N338" s="277"/>
      <c r="O338" s="277"/>
      <c r="P338" s="277"/>
      <c r="Q338" s="277"/>
      <c r="S338" s="277"/>
      <c r="T338" s="277"/>
      <c r="V338" s="154"/>
      <c r="W338" s="154"/>
      <c r="X338" s="154"/>
      <c r="Y338" s="154"/>
      <c r="Z338" s="154"/>
      <c r="AA338" s="154"/>
    </row>
    <row r="339" spans="1:27" s="278" customFormat="1" x14ac:dyDescent="0.25">
      <c r="A339" s="143"/>
      <c r="B339" s="139"/>
      <c r="C339" s="130"/>
      <c r="D339" s="133"/>
      <c r="E339" s="166"/>
      <c r="F339" s="275"/>
      <c r="G339" s="275"/>
      <c r="H339" s="275"/>
      <c r="I339" s="276"/>
      <c r="J339" s="276"/>
      <c r="K339" s="276"/>
      <c r="L339" s="276"/>
      <c r="M339" s="276"/>
      <c r="N339" s="277"/>
      <c r="O339" s="277"/>
      <c r="P339" s="277"/>
      <c r="Q339" s="277"/>
      <c r="S339" s="277"/>
      <c r="T339" s="277"/>
      <c r="V339" s="154"/>
      <c r="W339" s="154"/>
      <c r="X339" s="154"/>
      <c r="Y339" s="154"/>
      <c r="Z339" s="154"/>
      <c r="AA339" s="154"/>
    </row>
    <row r="340" spans="1:27" s="278" customFormat="1" x14ac:dyDescent="0.25">
      <c r="A340" s="143"/>
      <c r="B340" s="139"/>
      <c r="C340" s="130"/>
      <c r="D340" s="133"/>
      <c r="E340" s="166"/>
      <c r="F340" s="275"/>
      <c r="G340" s="275"/>
      <c r="H340" s="275"/>
      <c r="I340" s="276"/>
      <c r="J340" s="276"/>
      <c r="K340" s="276"/>
      <c r="L340" s="276"/>
      <c r="M340" s="276"/>
      <c r="N340" s="277"/>
      <c r="O340" s="277"/>
      <c r="P340" s="277"/>
      <c r="Q340" s="277"/>
      <c r="S340" s="277"/>
      <c r="T340" s="277"/>
      <c r="V340" s="154"/>
      <c r="W340" s="154"/>
      <c r="X340" s="154"/>
      <c r="Y340" s="154"/>
      <c r="Z340" s="154"/>
      <c r="AA340" s="154"/>
    </row>
    <row r="341" spans="1:27" s="278" customFormat="1" x14ac:dyDescent="0.25">
      <c r="A341" s="143"/>
      <c r="B341" s="139"/>
      <c r="C341" s="130"/>
      <c r="D341" s="133"/>
      <c r="E341" s="166"/>
      <c r="F341" s="275"/>
      <c r="G341" s="275"/>
      <c r="H341" s="275"/>
      <c r="I341" s="276"/>
      <c r="J341" s="276"/>
      <c r="K341" s="276"/>
      <c r="L341" s="276"/>
      <c r="M341" s="276"/>
      <c r="N341" s="277"/>
      <c r="O341" s="277"/>
      <c r="P341" s="277"/>
      <c r="Q341" s="277"/>
      <c r="S341" s="277"/>
      <c r="T341" s="277"/>
      <c r="V341" s="154"/>
      <c r="W341" s="154"/>
      <c r="X341" s="154"/>
      <c r="Y341" s="154"/>
      <c r="Z341" s="154"/>
      <c r="AA341" s="154"/>
    </row>
    <row r="342" spans="1:27" s="278" customFormat="1" x14ac:dyDescent="0.25">
      <c r="A342" s="143"/>
      <c r="B342" s="139"/>
      <c r="C342" s="130"/>
      <c r="D342" s="133"/>
      <c r="E342" s="166"/>
      <c r="F342" s="275"/>
      <c r="G342" s="275"/>
      <c r="H342" s="275"/>
      <c r="I342" s="276"/>
      <c r="J342" s="276"/>
      <c r="K342" s="276"/>
      <c r="L342" s="276"/>
      <c r="M342" s="276"/>
      <c r="N342" s="277"/>
      <c r="O342" s="277"/>
      <c r="P342" s="277"/>
      <c r="Q342" s="277"/>
      <c r="S342" s="277"/>
      <c r="T342" s="277"/>
      <c r="V342" s="154"/>
      <c r="W342" s="154"/>
      <c r="X342" s="154"/>
      <c r="Y342" s="154"/>
      <c r="Z342" s="154"/>
      <c r="AA342" s="154"/>
    </row>
    <row r="343" spans="1:27" s="278" customFormat="1" x14ac:dyDescent="0.25">
      <c r="A343" s="143"/>
      <c r="B343" s="139"/>
      <c r="C343" s="130"/>
      <c r="D343" s="133"/>
      <c r="E343" s="166"/>
      <c r="F343" s="275"/>
      <c r="G343" s="275"/>
      <c r="H343" s="275"/>
      <c r="I343" s="276"/>
      <c r="J343" s="276"/>
      <c r="K343" s="276"/>
      <c r="L343" s="276"/>
      <c r="M343" s="276"/>
      <c r="N343" s="277"/>
      <c r="O343" s="277"/>
      <c r="P343" s="277"/>
      <c r="Q343" s="277"/>
      <c r="S343" s="277"/>
      <c r="T343" s="277"/>
      <c r="V343" s="154"/>
      <c r="W343" s="154"/>
      <c r="X343" s="154"/>
      <c r="Y343" s="154"/>
      <c r="Z343" s="154"/>
      <c r="AA343" s="154"/>
    </row>
    <row r="344" spans="1:27" s="278" customFormat="1" x14ac:dyDescent="0.25">
      <c r="A344" s="143"/>
      <c r="B344" s="139"/>
      <c r="C344" s="130"/>
      <c r="D344" s="133"/>
      <c r="E344" s="166"/>
      <c r="F344" s="275"/>
      <c r="G344" s="275"/>
      <c r="H344" s="275"/>
      <c r="I344" s="276"/>
      <c r="J344" s="276"/>
      <c r="K344" s="276"/>
      <c r="L344" s="276"/>
      <c r="M344" s="276"/>
      <c r="N344" s="277"/>
      <c r="O344" s="277"/>
      <c r="P344" s="277"/>
      <c r="Q344" s="277"/>
      <c r="S344" s="277"/>
      <c r="T344" s="277"/>
      <c r="V344" s="154"/>
      <c r="W344" s="154"/>
      <c r="X344" s="154"/>
      <c r="Y344" s="154"/>
      <c r="Z344" s="154"/>
      <c r="AA344" s="154"/>
    </row>
    <row r="345" spans="1:27" s="278" customFormat="1" x14ac:dyDescent="0.25">
      <c r="A345" s="143"/>
      <c r="B345" s="139"/>
      <c r="C345" s="130"/>
      <c r="D345" s="133"/>
      <c r="E345" s="166"/>
      <c r="F345" s="275"/>
      <c r="G345" s="275"/>
      <c r="H345" s="275"/>
      <c r="I345" s="276"/>
      <c r="J345" s="276"/>
      <c r="K345" s="276"/>
      <c r="L345" s="276"/>
      <c r="M345" s="276"/>
      <c r="N345" s="277"/>
      <c r="O345" s="277"/>
      <c r="P345" s="277"/>
      <c r="Q345" s="277"/>
      <c r="S345" s="277"/>
      <c r="T345" s="277"/>
      <c r="V345" s="154"/>
      <c r="W345" s="154"/>
      <c r="X345" s="154"/>
      <c r="Y345" s="154"/>
      <c r="Z345" s="154"/>
      <c r="AA345" s="154"/>
    </row>
    <row r="346" spans="1:27" s="278" customFormat="1" x14ac:dyDescent="0.25">
      <c r="A346" s="143"/>
      <c r="B346" s="139"/>
      <c r="C346" s="130"/>
      <c r="D346" s="133"/>
      <c r="E346" s="166"/>
      <c r="F346" s="275"/>
      <c r="G346" s="275"/>
      <c r="H346" s="275"/>
      <c r="I346" s="276"/>
      <c r="J346" s="276"/>
      <c r="K346" s="276"/>
      <c r="L346" s="276"/>
      <c r="M346" s="276"/>
      <c r="N346" s="277"/>
      <c r="O346" s="277"/>
      <c r="P346" s="277"/>
      <c r="Q346" s="277"/>
      <c r="S346" s="277"/>
      <c r="T346" s="277"/>
      <c r="V346" s="154"/>
      <c r="W346" s="154"/>
      <c r="X346" s="154"/>
      <c r="Y346" s="154"/>
      <c r="Z346" s="154"/>
      <c r="AA346" s="154"/>
    </row>
    <row r="347" spans="1:27" s="278" customFormat="1" x14ac:dyDescent="0.25">
      <c r="A347" s="143"/>
      <c r="B347" s="139"/>
      <c r="C347" s="130"/>
      <c r="D347" s="133"/>
      <c r="E347" s="166"/>
      <c r="F347" s="275"/>
      <c r="G347" s="275"/>
      <c r="H347" s="275"/>
      <c r="I347" s="276"/>
      <c r="J347" s="276"/>
      <c r="K347" s="276"/>
      <c r="L347" s="276"/>
      <c r="M347" s="276"/>
      <c r="N347" s="277"/>
      <c r="O347" s="277"/>
      <c r="P347" s="277"/>
      <c r="Q347" s="277"/>
      <c r="S347" s="277"/>
      <c r="T347" s="277"/>
      <c r="V347" s="154"/>
      <c r="W347" s="154"/>
      <c r="X347" s="154"/>
      <c r="Y347" s="154"/>
      <c r="Z347" s="154"/>
      <c r="AA347" s="154"/>
    </row>
    <row r="348" spans="1:27" s="278" customFormat="1" x14ac:dyDescent="0.25">
      <c r="A348" s="143"/>
      <c r="B348" s="139"/>
      <c r="C348" s="130"/>
      <c r="D348" s="133"/>
      <c r="E348" s="166"/>
      <c r="F348" s="275"/>
      <c r="G348" s="275"/>
      <c r="H348" s="275"/>
      <c r="I348" s="276"/>
      <c r="J348" s="276"/>
      <c r="K348" s="276"/>
      <c r="L348" s="276"/>
      <c r="M348" s="276"/>
      <c r="N348" s="277"/>
      <c r="O348" s="277"/>
      <c r="P348" s="277"/>
      <c r="Q348" s="277"/>
      <c r="S348" s="277"/>
      <c r="T348" s="277"/>
      <c r="V348" s="154"/>
      <c r="W348" s="154"/>
      <c r="X348" s="154"/>
      <c r="Y348" s="154"/>
      <c r="Z348" s="154"/>
      <c r="AA348" s="154"/>
    </row>
    <row r="349" spans="1:27" s="278" customFormat="1" x14ac:dyDescent="0.25">
      <c r="A349" s="143"/>
      <c r="B349" s="139"/>
      <c r="C349" s="130"/>
      <c r="D349" s="133"/>
      <c r="E349" s="166"/>
      <c r="F349" s="275"/>
      <c r="G349" s="275"/>
      <c r="H349" s="275"/>
      <c r="I349" s="276"/>
      <c r="J349" s="276"/>
      <c r="K349" s="276"/>
      <c r="L349" s="276"/>
      <c r="M349" s="276"/>
      <c r="N349" s="277"/>
      <c r="O349" s="277"/>
      <c r="P349" s="277"/>
      <c r="Q349" s="277"/>
      <c r="S349" s="277"/>
      <c r="T349" s="277"/>
      <c r="V349" s="154"/>
      <c r="W349" s="154"/>
      <c r="X349" s="154"/>
      <c r="Y349" s="154"/>
      <c r="Z349" s="154"/>
      <c r="AA349" s="154"/>
    </row>
    <row r="350" spans="1:27" s="278" customFormat="1" x14ac:dyDescent="0.25">
      <c r="A350" s="143"/>
      <c r="B350" s="139"/>
      <c r="C350" s="130"/>
      <c r="D350" s="133"/>
      <c r="E350" s="166"/>
      <c r="F350" s="275"/>
      <c r="G350" s="275"/>
      <c r="H350" s="275"/>
      <c r="I350" s="276"/>
      <c r="J350" s="276"/>
      <c r="K350" s="276"/>
      <c r="L350" s="276"/>
      <c r="M350" s="276"/>
      <c r="N350" s="277"/>
      <c r="O350" s="277"/>
      <c r="P350" s="277"/>
      <c r="Q350" s="277"/>
      <c r="S350" s="277"/>
      <c r="T350" s="277"/>
      <c r="V350" s="154"/>
      <c r="W350" s="154"/>
      <c r="X350" s="154"/>
      <c r="Y350" s="154"/>
      <c r="Z350" s="154"/>
      <c r="AA350" s="154"/>
    </row>
    <row r="351" spans="1:27" s="278" customFormat="1" x14ac:dyDescent="0.25">
      <c r="A351" s="143"/>
      <c r="B351" s="139"/>
      <c r="C351" s="130"/>
      <c r="D351" s="133"/>
      <c r="E351" s="166"/>
      <c r="F351" s="275"/>
      <c r="G351" s="275"/>
      <c r="H351" s="275"/>
      <c r="I351" s="276"/>
      <c r="J351" s="276"/>
      <c r="K351" s="276"/>
      <c r="L351" s="276"/>
      <c r="M351" s="276"/>
      <c r="N351" s="277"/>
      <c r="O351" s="277"/>
      <c r="P351" s="277"/>
      <c r="Q351" s="277"/>
      <c r="S351" s="277"/>
      <c r="T351" s="277"/>
      <c r="V351" s="154"/>
      <c r="W351" s="154"/>
      <c r="X351" s="154"/>
      <c r="Y351" s="154"/>
      <c r="Z351" s="154"/>
      <c r="AA351" s="154"/>
    </row>
    <row r="352" spans="1:27" s="278" customFormat="1" x14ac:dyDescent="0.25">
      <c r="A352" s="143"/>
      <c r="B352" s="139"/>
      <c r="C352" s="130"/>
      <c r="D352" s="133"/>
      <c r="E352" s="166"/>
      <c r="F352" s="275"/>
      <c r="G352" s="275"/>
      <c r="H352" s="275"/>
      <c r="I352" s="276"/>
      <c r="J352" s="276"/>
      <c r="K352" s="276"/>
      <c r="L352" s="276"/>
      <c r="M352" s="276"/>
      <c r="N352" s="277"/>
      <c r="O352" s="277"/>
      <c r="P352" s="277"/>
      <c r="Q352" s="277"/>
      <c r="S352" s="277"/>
      <c r="T352" s="277"/>
      <c r="V352" s="154"/>
      <c r="W352" s="154"/>
      <c r="X352" s="154"/>
      <c r="Y352" s="154"/>
      <c r="Z352" s="154"/>
      <c r="AA352" s="154"/>
    </row>
    <row r="353" spans="1:27" s="278" customFormat="1" x14ac:dyDescent="0.25">
      <c r="A353" s="143"/>
      <c r="B353" s="139"/>
      <c r="C353" s="130"/>
      <c r="D353" s="133"/>
      <c r="E353" s="166"/>
      <c r="F353" s="275"/>
      <c r="G353" s="275"/>
      <c r="H353" s="275"/>
      <c r="I353" s="276"/>
      <c r="J353" s="276"/>
      <c r="K353" s="276"/>
      <c r="L353" s="276"/>
      <c r="M353" s="276"/>
      <c r="N353" s="277"/>
      <c r="O353" s="277"/>
      <c r="P353" s="277"/>
      <c r="Q353" s="277"/>
      <c r="S353" s="277"/>
      <c r="T353" s="277"/>
      <c r="V353" s="154"/>
      <c r="W353" s="154"/>
      <c r="X353" s="154"/>
      <c r="Y353" s="154"/>
      <c r="Z353" s="154"/>
      <c r="AA353" s="154"/>
    </row>
    <row r="354" spans="1:27" s="278" customFormat="1" x14ac:dyDescent="0.25">
      <c r="A354" s="143"/>
      <c r="B354" s="139"/>
      <c r="C354" s="130"/>
      <c r="D354" s="133"/>
      <c r="E354" s="166"/>
      <c r="F354" s="275"/>
      <c r="G354" s="275"/>
      <c r="H354" s="275"/>
      <c r="I354" s="276"/>
      <c r="J354" s="276"/>
      <c r="K354" s="276"/>
      <c r="L354" s="276"/>
      <c r="M354" s="276"/>
      <c r="N354" s="277"/>
      <c r="O354" s="277"/>
      <c r="P354" s="277"/>
      <c r="Q354" s="277"/>
      <c r="S354" s="277"/>
      <c r="T354" s="277"/>
      <c r="V354" s="154"/>
      <c r="W354" s="154"/>
      <c r="X354" s="154"/>
      <c r="Y354" s="154"/>
      <c r="Z354" s="154"/>
      <c r="AA354" s="154"/>
    </row>
    <row r="355" spans="1:27" s="278" customFormat="1" x14ac:dyDescent="0.25">
      <c r="A355" s="143"/>
      <c r="B355" s="139"/>
      <c r="C355" s="130"/>
      <c r="D355" s="133"/>
      <c r="E355" s="166"/>
      <c r="F355" s="275"/>
      <c r="G355" s="275"/>
      <c r="H355" s="275"/>
      <c r="I355" s="276"/>
      <c r="J355" s="276"/>
      <c r="K355" s="276"/>
      <c r="L355" s="276"/>
      <c r="M355" s="276"/>
      <c r="N355" s="277"/>
      <c r="O355" s="277"/>
      <c r="P355" s="277"/>
      <c r="Q355" s="277"/>
      <c r="S355" s="277"/>
      <c r="T355" s="277"/>
      <c r="V355" s="154"/>
      <c r="W355" s="154"/>
      <c r="X355" s="154"/>
      <c r="Y355" s="154"/>
      <c r="Z355" s="154"/>
      <c r="AA355" s="154"/>
    </row>
    <row r="356" spans="1:27" s="278" customFormat="1" x14ac:dyDescent="0.25">
      <c r="A356" s="143"/>
      <c r="B356" s="139"/>
      <c r="C356" s="130"/>
      <c r="D356" s="133"/>
      <c r="E356" s="166"/>
      <c r="F356" s="275"/>
      <c r="G356" s="275"/>
      <c r="H356" s="275"/>
      <c r="I356" s="276"/>
      <c r="J356" s="276"/>
      <c r="K356" s="276"/>
      <c r="L356" s="276"/>
      <c r="M356" s="276"/>
      <c r="N356" s="277"/>
      <c r="O356" s="277"/>
      <c r="P356" s="277"/>
      <c r="Q356" s="277"/>
      <c r="S356" s="277"/>
      <c r="T356" s="277"/>
      <c r="V356" s="154"/>
      <c r="W356" s="154"/>
      <c r="X356" s="154"/>
      <c r="Y356" s="154"/>
      <c r="Z356" s="154"/>
      <c r="AA356" s="154"/>
    </row>
    <row r="357" spans="1:27" s="278" customFormat="1" x14ac:dyDescent="0.25">
      <c r="A357" s="143"/>
      <c r="B357" s="139"/>
      <c r="C357" s="130"/>
      <c r="D357" s="133"/>
      <c r="E357" s="166"/>
      <c r="F357" s="275"/>
      <c r="G357" s="275"/>
      <c r="H357" s="275"/>
      <c r="I357" s="276"/>
      <c r="J357" s="276"/>
      <c r="K357" s="276"/>
      <c r="L357" s="276"/>
      <c r="M357" s="276"/>
      <c r="N357" s="277"/>
      <c r="O357" s="277"/>
      <c r="P357" s="277"/>
      <c r="Q357" s="277"/>
      <c r="S357" s="277"/>
      <c r="T357" s="277"/>
      <c r="V357" s="154"/>
      <c r="W357" s="154"/>
      <c r="X357" s="154"/>
      <c r="Y357" s="154"/>
      <c r="Z357" s="154"/>
      <c r="AA357" s="154"/>
    </row>
    <row r="358" spans="1:27" s="278" customFormat="1" x14ac:dyDescent="0.25">
      <c r="A358" s="143"/>
      <c r="B358" s="139"/>
      <c r="C358" s="130"/>
      <c r="D358" s="133"/>
      <c r="E358" s="166"/>
      <c r="F358" s="275"/>
      <c r="G358" s="275"/>
      <c r="H358" s="275"/>
      <c r="I358" s="276"/>
      <c r="J358" s="276"/>
      <c r="K358" s="276"/>
      <c r="L358" s="276"/>
      <c r="M358" s="276"/>
      <c r="N358" s="277"/>
      <c r="O358" s="277"/>
      <c r="P358" s="277"/>
      <c r="Q358" s="277"/>
      <c r="S358" s="277"/>
      <c r="T358" s="277"/>
      <c r="V358" s="154"/>
      <c r="W358" s="154"/>
      <c r="X358" s="154"/>
      <c r="Y358" s="154"/>
      <c r="Z358" s="154"/>
      <c r="AA358" s="154"/>
    </row>
    <row r="359" spans="1:27" s="278" customFormat="1" x14ac:dyDescent="0.25">
      <c r="A359" s="143"/>
      <c r="B359" s="139"/>
      <c r="C359" s="130"/>
      <c r="D359" s="133"/>
      <c r="E359" s="166"/>
      <c r="F359" s="275"/>
      <c r="G359" s="275"/>
      <c r="H359" s="275"/>
      <c r="I359" s="276"/>
      <c r="J359" s="276"/>
      <c r="K359" s="276"/>
      <c r="L359" s="276"/>
      <c r="M359" s="276"/>
      <c r="N359" s="277"/>
      <c r="O359" s="277"/>
      <c r="P359" s="277"/>
      <c r="Q359" s="277"/>
      <c r="S359" s="277"/>
      <c r="T359" s="277"/>
      <c r="V359" s="154"/>
      <c r="W359" s="154"/>
      <c r="X359" s="154"/>
      <c r="Y359" s="154"/>
      <c r="Z359" s="154"/>
      <c r="AA359" s="154"/>
    </row>
    <row r="360" spans="1:27" s="278" customFormat="1" x14ac:dyDescent="0.25">
      <c r="A360" s="143"/>
      <c r="B360" s="139"/>
      <c r="C360" s="130"/>
      <c r="D360" s="133"/>
      <c r="E360" s="166"/>
      <c r="F360" s="275"/>
      <c r="G360" s="275"/>
      <c r="H360" s="275"/>
      <c r="I360" s="276"/>
      <c r="J360" s="276"/>
      <c r="K360" s="276"/>
      <c r="L360" s="276"/>
      <c r="M360" s="276"/>
      <c r="N360" s="277"/>
      <c r="O360" s="277"/>
      <c r="P360" s="277"/>
      <c r="Q360" s="277"/>
      <c r="S360" s="277"/>
      <c r="T360" s="277"/>
      <c r="V360" s="154"/>
      <c r="W360" s="154"/>
      <c r="X360" s="154"/>
      <c r="Y360" s="154"/>
      <c r="Z360" s="154"/>
      <c r="AA360" s="154"/>
    </row>
    <row r="361" spans="1:27" s="278" customFormat="1" x14ac:dyDescent="0.25">
      <c r="A361" s="143"/>
      <c r="B361" s="139"/>
      <c r="C361" s="130"/>
      <c r="D361" s="133"/>
      <c r="E361" s="166"/>
      <c r="F361" s="275"/>
      <c r="G361" s="275"/>
      <c r="H361" s="275"/>
      <c r="I361" s="276"/>
      <c r="J361" s="276"/>
      <c r="K361" s="276"/>
      <c r="L361" s="276"/>
      <c r="M361" s="276"/>
      <c r="N361" s="277"/>
      <c r="O361" s="277"/>
      <c r="P361" s="277"/>
      <c r="Q361" s="277"/>
      <c r="S361" s="277"/>
      <c r="T361" s="277"/>
      <c r="V361" s="154"/>
      <c r="W361" s="154"/>
      <c r="X361" s="154"/>
      <c r="Y361" s="154"/>
      <c r="Z361" s="154"/>
      <c r="AA361" s="154"/>
    </row>
    <row r="362" spans="1:27" s="278" customFormat="1" x14ac:dyDescent="0.25">
      <c r="A362" s="143"/>
      <c r="B362" s="139"/>
      <c r="C362" s="130"/>
      <c r="D362" s="133"/>
      <c r="E362" s="166"/>
      <c r="F362" s="275"/>
      <c r="G362" s="275"/>
      <c r="H362" s="275"/>
      <c r="I362" s="276"/>
      <c r="J362" s="276"/>
      <c r="K362" s="276"/>
      <c r="L362" s="276"/>
      <c r="M362" s="276"/>
      <c r="N362" s="277"/>
      <c r="O362" s="277"/>
      <c r="P362" s="277"/>
      <c r="Q362" s="277"/>
      <c r="S362" s="277"/>
      <c r="T362" s="277"/>
      <c r="V362" s="154"/>
      <c r="W362" s="154"/>
      <c r="X362" s="154"/>
      <c r="Y362" s="154"/>
      <c r="Z362" s="154"/>
      <c r="AA362" s="154"/>
    </row>
    <row r="363" spans="1:27" s="278" customFormat="1" x14ac:dyDescent="0.25">
      <c r="A363" s="143"/>
      <c r="B363" s="139"/>
      <c r="C363" s="130"/>
      <c r="D363" s="133"/>
      <c r="E363" s="166"/>
      <c r="F363" s="275"/>
      <c r="G363" s="275"/>
      <c r="H363" s="275"/>
      <c r="I363" s="276"/>
      <c r="J363" s="276"/>
      <c r="K363" s="276"/>
      <c r="L363" s="276"/>
      <c r="M363" s="276"/>
      <c r="N363" s="277"/>
      <c r="O363" s="277"/>
      <c r="P363" s="277"/>
      <c r="Q363" s="277"/>
      <c r="S363" s="277"/>
      <c r="T363" s="277"/>
      <c r="V363" s="154"/>
      <c r="W363" s="154"/>
      <c r="X363" s="154"/>
      <c r="Y363" s="154"/>
      <c r="Z363" s="154"/>
      <c r="AA363" s="154"/>
    </row>
    <row r="364" spans="1:27" s="278" customFormat="1" x14ac:dyDescent="0.25">
      <c r="A364" s="143"/>
      <c r="B364" s="139"/>
      <c r="C364" s="130"/>
      <c r="D364" s="133"/>
      <c r="E364" s="166"/>
      <c r="F364" s="275"/>
      <c r="G364" s="275"/>
      <c r="H364" s="275"/>
      <c r="I364" s="276"/>
      <c r="J364" s="276"/>
      <c r="K364" s="276"/>
      <c r="L364" s="276"/>
      <c r="M364" s="276"/>
      <c r="N364" s="277"/>
      <c r="O364" s="277"/>
      <c r="P364" s="277"/>
      <c r="Q364" s="277"/>
      <c r="S364" s="277"/>
      <c r="T364" s="277"/>
      <c r="V364" s="154"/>
      <c r="W364" s="154"/>
      <c r="X364" s="154"/>
      <c r="Y364" s="154"/>
      <c r="Z364" s="154"/>
      <c r="AA364" s="154"/>
    </row>
    <row r="365" spans="1:27" s="278" customFormat="1" x14ac:dyDescent="0.25">
      <c r="A365" s="143"/>
      <c r="B365" s="139"/>
      <c r="C365" s="130"/>
      <c r="D365" s="133"/>
      <c r="E365" s="166"/>
      <c r="F365" s="275"/>
      <c r="G365" s="275"/>
      <c r="H365" s="275"/>
      <c r="I365" s="276"/>
      <c r="J365" s="276"/>
      <c r="K365" s="276"/>
      <c r="L365" s="276"/>
      <c r="M365" s="276"/>
      <c r="N365" s="277"/>
      <c r="O365" s="277"/>
      <c r="P365" s="277"/>
      <c r="Q365" s="277"/>
      <c r="S365" s="277"/>
      <c r="T365" s="277"/>
      <c r="V365" s="154"/>
      <c r="W365" s="154"/>
      <c r="X365" s="154"/>
      <c r="Y365" s="154"/>
      <c r="Z365" s="154"/>
      <c r="AA365" s="154"/>
    </row>
    <row r="366" spans="1:27" s="278" customFormat="1" x14ac:dyDescent="0.25">
      <c r="A366" s="143"/>
      <c r="B366" s="139"/>
      <c r="C366" s="130"/>
      <c r="D366" s="133"/>
      <c r="E366" s="166"/>
      <c r="F366" s="275"/>
      <c r="G366" s="275"/>
      <c r="H366" s="275"/>
      <c r="I366" s="276"/>
      <c r="J366" s="276"/>
      <c r="K366" s="276"/>
      <c r="L366" s="276"/>
      <c r="M366" s="276"/>
      <c r="N366" s="277"/>
      <c r="O366" s="277"/>
      <c r="P366" s="277"/>
      <c r="Q366" s="277"/>
      <c r="S366" s="277"/>
      <c r="T366" s="277"/>
      <c r="V366" s="154"/>
      <c r="W366" s="154"/>
      <c r="X366" s="154"/>
      <c r="Y366" s="154"/>
      <c r="Z366" s="154"/>
      <c r="AA366" s="154"/>
    </row>
    <row r="367" spans="1:27" s="278" customFormat="1" x14ac:dyDescent="0.25">
      <c r="A367" s="143"/>
      <c r="B367" s="139"/>
      <c r="C367" s="130"/>
      <c r="D367" s="133"/>
      <c r="E367" s="166"/>
      <c r="F367" s="275"/>
      <c r="G367" s="275"/>
      <c r="H367" s="275"/>
      <c r="I367" s="276"/>
      <c r="J367" s="276"/>
      <c r="K367" s="276"/>
      <c r="L367" s="276"/>
      <c r="M367" s="276"/>
      <c r="N367" s="277"/>
      <c r="O367" s="277"/>
      <c r="P367" s="277"/>
      <c r="Q367" s="277"/>
      <c r="S367" s="277"/>
      <c r="T367" s="277"/>
      <c r="V367" s="154"/>
      <c r="W367" s="154"/>
      <c r="X367" s="154"/>
      <c r="Y367" s="154"/>
      <c r="Z367" s="154"/>
      <c r="AA367" s="154"/>
    </row>
    <row r="368" spans="1:27" s="278" customFormat="1" x14ac:dyDescent="0.25">
      <c r="A368" s="143"/>
      <c r="B368" s="139"/>
      <c r="C368" s="130"/>
      <c r="D368" s="133"/>
      <c r="E368" s="166"/>
      <c r="F368" s="275"/>
      <c r="G368" s="275"/>
      <c r="H368" s="275"/>
      <c r="I368" s="276"/>
      <c r="J368" s="276"/>
      <c r="K368" s="276"/>
      <c r="L368" s="276"/>
      <c r="M368" s="276"/>
      <c r="N368" s="277"/>
      <c r="O368" s="277"/>
      <c r="P368" s="277"/>
      <c r="Q368" s="277"/>
      <c r="S368" s="277"/>
      <c r="T368" s="277"/>
      <c r="V368" s="154"/>
      <c r="W368" s="154"/>
      <c r="X368" s="154"/>
      <c r="Y368" s="154"/>
      <c r="Z368" s="154"/>
      <c r="AA368" s="154"/>
    </row>
    <row r="369" spans="1:27" s="278" customFormat="1" x14ac:dyDescent="0.25">
      <c r="A369" s="143"/>
      <c r="B369" s="139"/>
      <c r="C369" s="130"/>
      <c r="D369" s="133"/>
      <c r="E369" s="166"/>
      <c r="F369" s="275"/>
      <c r="G369" s="275"/>
      <c r="H369" s="275"/>
      <c r="I369" s="276"/>
      <c r="J369" s="276"/>
      <c r="K369" s="276"/>
      <c r="L369" s="276"/>
      <c r="M369" s="276"/>
      <c r="N369" s="277"/>
      <c r="O369" s="277"/>
      <c r="P369" s="277"/>
      <c r="Q369" s="277"/>
      <c r="S369" s="277"/>
      <c r="T369" s="277"/>
      <c r="V369" s="154"/>
      <c r="W369" s="154"/>
      <c r="X369" s="154"/>
      <c r="Y369" s="154"/>
      <c r="Z369" s="154"/>
      <c r="AA369" s="154"/>
    </row>
    <row r="370" spans="1:27" s="278" customFormat="1" x14ac:dyDescent="0.25">
      <c r="A370" s="143"/>
      <c r="B370" s="139"/>
      <c r="C370" s="130"/>
      <c r="D370" s="133"/>
      <c r="E370" s="166"/>
      <c r="F370" s="275"/>
      <c r="G370" s="275"/>
      <c r="H370" s="275"/>
      <c r="I370" s="276"/>
      <c r="J370" s="276"/>
      <c r="K370" s="276"/>
      <c r="L370" s="276"/>
      <c r="M370" s="276"/>
      <c r="N370" s="277"/>
      <c r="O370" s="277"/>
      <c r="P370" s="277"/>
      <c r="Q370" s="277"/>
      <c r="S370" s="277"/>
      <c r="T370" s="277"/>
      <c r="V370" s="154"/>
      <c r="W370" s="154"/>
      <c r="X370" s="154"/>
      <c r="Y370" s="154"/>
      <c r="Z370" s="154"/>
      <c r="AA370" s="154"/>
    </row>
    <row r="371" spans="1:27" s="278" customFormat="1" x14ac:dyDescent="0.25">
      <c r="A371" s="143"/>
      <c r="B371" s="139"/>
      <c r="C371" s="130"/>
      <c r="D371" s="133"/>
      <c r="E371" s="166"/>
      <c r="F371" s="275"/>
      <c r="G371" s="275"/>
      <c r="H371" s="275"/>
      <c r="I371" s="276"/>
      <c r="J371" s="276"/>
      <c r="K371" s="276"/>
      <c r="L371" s="276"/>
      <c r="M371" s="276"/>
      <c r="N371" s="277"/>
      <c r="O371" s="277"/>
      <c r="P371" s="277"/>
      <c r="Q371" s="277"/>
      <c r="S371" s="277"/>
      <c r="T371" s="277"/>
      <c r="V371" s="154"/>
      <c r="W371" s="154"/>
      <c r="X371" s="154"/>
      <c r="Y371" s="154"/>
      <c r="Z371" s="154"/>
      <c r="AA371" s="154"/>
    </row>
    <row r="372" spans="1:27" s="278" customFormat="1" x14ac:dyDescent="0.25">
      <c r="A372" s="143"/>
      <c r="B372" s="139"/>
      <c r="C372" s="130"/>
      <c r="D372" s="133"/>
      <c r="E372" s="166"/>
      <c r="F372" s="275"/>
      <c r="G372" s="275"/>
      <c r="H372" s="275"/>
      <c r="I372" s="276"/>
      <c r="J372" s="276"/>
      <c r="K372" s="276"/>
      <c r="L372" s="276"/>
      <c r="M372" s="276"/>
      <c r="N372" s="277"/>
      <c r="O372" s="277"/>
      <c r="P372" s="277"/>
      <c r="Q372" s="277"/>
      <c r="S372" s="277"/>
      <c r="T372" s="277"/>
      <c r="V372" s="154"/>
      <c r="W372" s="154"/>
      <c r="X372" s="154"/>
      <c r="Y372" s="154"/>
      <c r="Z372" s="154"/>
      <c r="AA372" s="154"/>
    </row>
    <row r="373" spans="1:27" s="278" customFormat="1" x14ac:dyDescent="0.25">
      <c r="A373" s="143"/>
      <c r="B373" s="139"/>
      <c r="C373" s="130"/>
      <c r="D373" s="133"/>
      <c r="E373" s="166"/>
      <c r="F373" s="275"/>
      <c r="G373" s="275"/>
      <c r="H373" s="275"/>
      <c r="I373" s="276"/>
      <c r="J373" s="276"/>
      <c r="K373" s="276"/>
      <c r="L373" s="276"/>
      <c r="M373" s="276"/>
      <c r="N373" s="277"/>
      <c r="O373" s="277"/>
      <c r="P373" s="277"/>
      <c r="Q373" s="277"/>
      <c r="S373" s="277"/>
      <c r="T373" s="277"/>
      <c r="V373" s="154"/>
      <c r="W373" s="154"/>
      <c r="X373" s="154"/>
      <c r="Y373" s="154"/>
      <c r="Z373" s="154"/>
      <c r="AA373" s="154"/>
    </row>
    <row r="374" spans="1:27" s="278" customFormat="1" x14ac:dyDescent="0.25">
      <c r="A374" s="143"/>
      <c r="B374" s="139"/>
      <c r="C374" s="130"/>
      <c r="D374" s="133"/>
      <c r="E374" s="166"/>
      <c r="F374" s="275"/>
      <c r="G374" s="275"/>
      <c r="H374" s="275"/>
      <c r="I374" s="276"/>
      <c r="J374" s="276"/>
      <c r="K374" s="276"/>
      <c r="L374" s="276"/>
      <c r="M374" s="276"/>
      <c r="N374" s="277"/>
      <c r="O374" s="277"/>
      <c r="P374" s="277"/>
      <c r="Q374" s="277"/>
      <c r="S374" s="277"/>
      <c r="T374" s="277"/>
      <c r="V374" s="154"/>
      <c r="W374" s="154"/>
      <c r="X374" s="154"/>
      <c r="Y374" s="154"/>
      <c r="Z374" s="154"/>
      <c r="AA374" s="154"/>
    </row>
    <row r="375" spans="1:27" s="278" customFormat="1" x14ac:dyDescent="0.25">
      <c r="A375" s="143"/>
      <c r="B375" s="139"/>
      <c r="C375" s="130"/>
      <c r="D375" s="133"/>
      <c r="E375" s="166"/>
      <c r="F375" s="275"/>
      <c r="G375" s="275"/>
      <c r="H375" s="275"/>
      <c r="I375" s="276"/>
      <c r="J375" s="276"/>
      <c r="K375" s="276"/>
      <c r="L375" s="276"/>
      <c r="M375" s="276"/>
      <c r="N375" s="277"/>
      <c r="O375" s="277"/>
      <c r="P375" s="277"/>
      <c r="Q375" s="277"/>
      <c r="S375" s="277"/>
      <c r="T375" s="277"/>
      <c r="V375" s="154"/>
      <c r="W375" s="154"/>
      <c r="X375" s="154"/>
      <c r="Y375" s="154"/>
      <c r="Z375" s="154"/>
      <c r="AA375" s="154"/>
    </row>
    <row r="376" spans="1:27" s="278" customFormat="1" x14ac:dyDescent="0.25">
      <c r="A376" s="143"/>
      <c r="B376" s="139"/>
      <c r="C376" s="130"/>
      <c r="D376" s="133"/>
      <c r="E376" s="166"/>
      <c r="F376" s="275"/>
      <c r="G376" s="275"/>
      <c r="H376" s="275"/>
      <c r="I376" s="276"/>
      <c r="J376" s="276"/>
      <c r="K376" s="276"/>
      <c r="L376" s="276"/>
      <c r="M376" s="276"/>
      <c r="N376" s="277"/>
      <c r="O376" s="277"/>
      <c r="P376" s="277"/>
      <c r="Q376" s="277"/>
      <c r="S376" s="277"/>
      <c r="T376" s="277"/>
      <c r="V376" s="154"/>
      <c r="W376" s="154"/>
      <c r="X376" s="154"/>
      <c r="Y376" s="154"/>
      <c r="Z376" s="154"/>
      <c r="AA376" s="154"/>
    </row>
    <row r="377" spans="1:27" s="278" customFormat="1" x14ac:dyDescent="0.25">
      <c r="A377" s="143"/>
      <c r="B377" s="139"/>
      <c r="C377" s="130"/>
      <c r="D377" s="133"/>
      <c r="E377" s="166"/>
      <c r="F377" s="275"/>
      <c r="G377" s="275"/>
      <c r="H377" s="275"/>
      <c r="I377" s="276"/>
      <c r="J377" s="276"/>
      <c r="K377" s="276"/>
      <c r="L377" s="276"/>
      <c r="M377" s="276"/>
      <c r="N377" s="277"/>
      <c r="O377" s="277"/>
      <c r="P377" s="277"/>
      <c r="Q377" s="277"/>
      <c r="S377" s="277"/>
      <c r="T377" s="277"/>
      <c r="V377" s="154"/>
      <c r="W377" s="154"/>
      <c r="X377" s="154"/>
      <c r="Y377" s="154"/>
      <c r="Z377" s="154"/>
      <c r="AA377" s="154"/>
    </row>
    <row r="378" spans="1:27" s="278" customFormat="1" x14ac:dyDescent="0.25">
      <c r="A378" s="143"/>
      <c r="B378" s="139"/>
      <c r="C378" s="130"/>
      <c r="D378" s="133"/>
      <c r="E378" s="166"/>
      <c r="F378" s="275"/>
      <c r="G378" s="275"/>
      <c r="H378" s="275"/>
      <c r="I378" s="276"/>
      <c r="J378" s="276"/>
      <c r="K378" s="276"/>
      <c r="L378" s="276"/>
      <c r="M378" s="276"/>
      <c r="N378" s="277"/>
      <c r="O378" s="277"/>
      <c r="P378" s="277"/>
      <c r="Q378" s="277"/>
      <c r="S378" s="277"/>
      <c r="T378" s="277"/>
      <c r="V378" s="154"/>
      <c r="W378" s="154"/>
      <c r="X378" s="154"/>
      <c r="Y378" s="154"/>
      <c r="Z378" s="154"/>
      <c r="AA378" s="154"/>
    </row>
    <row r="379" spans="1:27" s="278" customFormat="1" x14ac:dyDescent="0.25">
      <c r="A379" s="143"/>
      <c r="B379" s="139"/>
      <c r="C379" s="130"/>
      <c r="D379" s="133"/>
      <c r="E379" s="166"/>
      <c r="F379" s="275"/>
      <c r="G379" s="275"/>
      <c r="H379" s="275"/>
      <c r="I379" s="276"/>
      <c r="J379" s="276"/>
      <c r="K379" s="276"/>
      <c r="L379" s="276"/>
      <c r="M379" s="276"/>
      <c r="N379" s="277"/>
      <c r="O379" s="277"/>
      <c r="P379" s="277"/>
      <c r="Q379" s="277"/>
      <c r="S379" s="277"/>
      <c r="T379" s="277"/>
      <c r="V379" s="154"/>
      <c r="W379" s="154"/>
      <c r="X379" s="154"/>
      <c r="Y379" s="154"/>
      <c r="Z379" s="154"/>
      <c r="AA379" s="154"/>
    </row>
    <row r="380" spans="1:27" s="278" customFormat="1" x14ac:dyDescent="0.25">
      <c r="A380" s="143"/>
      <c r="B380" s="139"/>
      <c r="C380" s="130"/>
      <c r="D380" s="133"/>
      <c r="E380" s="166"/>
      <c r="F380" s="275"/>
      <c r="G380" s="275"/>
      <c r="H380" s="275"/>
      <c r="I380" s="276"/>
      <c r="J380" s="276"/>
      <c r="K380" s="276"/>
      <c r="L380" s="276"/>
      <c r="M380" s="276"/>
      <c r="N380" s="277"/>
      <c r="O380" s="277"/>
      <c r="P380" s="277"/>
      <c r="Q380" s="277"/>
      <c r="S380" s="277"/>
      <c r="T380" s="277"/>
      <c r="V380" s="154"/>
      <c r="W380" s="154"/>
      <c r="X380" s="154"/>
      <c r="Y380" s="154"/>
      <c r="Z380" s="154"/>
      <c r="AA380" s="154"/>
    </row>
    <row r="381" spans="1:27" s="278" customFormat="1" x14ac:dyDescent="0.25">
      <c r="A381" s="143"/>
      <c r="B381" s="139"/>
      <c r="C381" s="130"/>
      <c r="D381" s="133"/>
      <c r="E381" s="166"/>
      <c r="F381" s="275"/>
      <c r="G381" s="275"/>
      <c r="H381" s="275"/>
      <c r="I381" s="276"/>
      <c r="J381" s="276"/>
      <c r="K381" s="276"/>
      <c r="L381" s="276"/>
      <c r="M381" s="276"/>
      <c r="N381" s="277"/>
      <c r="O381" s="277"/>
      <c r="P381" s="277"/>
      <c r="Q381" s="277"/>
      <c r="S381" s="277"/>
      <c r="T381" s="277"/>
      <c r="V381" s="154"/>
      <c r="W381" s="154"/>
      <c r="X381" s="154"/>
      <c r="Y381" s="154"/>
      <c r="Z381" s="154"/>
      <c r="AA381" s="154"/>
    </row>
    <row r="382" spans="1:27" s="278" customFormat="1" x14ac:dyDescent="0.25">
      <c r="A382" s="143"/>
      <c r="B382" s="139"/>
      <c r="C382" s="130"/>
      <c r="D382" s="133"/>
      <c r="E382" s="166"/>
      <c r="F382" s="275"/>
      <c r="G382" s="275"/>
      <c r="H382" s="275"/>
      <c r="I382" s="276"/>
      <c r="J382" s="276"/>
      <c r="K382" s="276"/>
      <c r="L382" s="276"/>
      <c r="M382" s="276"/>
      <c r="N382" s="277"/>
      <c r="O382" s="277"/>
      <c r="P382" s="277"/>
      <c r="Q382" s="277"/>
      <c r="S382" s="277"/>
      <c r="T382" s="277"/>
      <c r="V382" s="154"/>
      <c r="W382" s="154"/>
      <c r="X382" s="154"/>
      <c r="Y382" s="154"/>
      <c r="Z382" s="154"/>
      <c r="AA382" s="154"/>
    </row>
    <row r="383" spans="1:27" s="278" customFormat="1" x14ac:dyDescent="0.25">
      <c r="A383" s="143"/>
      <c r="B383" s="139"/>
      <c r="C383" s="130"/>
      <c r="D383" s="133"/>
      <c r="E383" s="166"/>
      <c r="F383" s="275"/>
      <c r="G383" s="275"/>
      <c r="H383" s="275"/>
      <c r="I383" s="276"/>
      <c r="J383" s="276"/>
      <c r="K383" s="276"/>
      <c r="L383" s="276"/>
      <c r="M383" s="276"/>
      <c r="N383" s="277"/>
      <c r="O383" s="277"/>
      <c r="P383" s="277"/>
      <c r="Q383" s="277"/>
      <c r="S383" s="277"/>
      <c r="T383" s="277"/>
      <c r="V383" s="154"/>
      <c r="W383" s="154"/>
      <c r="X383" s="154"/>
      <c r="Y383" s="154"/>
      <c r="Z383" s="154"/>
      <c r="AA383" s="154"/>
    </row>
    <row r="384" spans="1:27" s="278" customFormat="1" x14ac:dyDescent="0.25">
      <c r="A384" s="143"/>
      <c r="B384" s="139"/>
      <c r="C384" s="130"/>
      <c r="D384" s="133"/>
      <c r="E384" s="166"/>
      <c r="F384" s="275"/>
      <c r="G384" s="275"/>
      <c r="H384" s="275"/>
      <c r="I384" s="276"/>
      <c r="J384" s="276"/>
      <c r="K384" s="276"/>
      <c r="L384" s="276"/>
      <c r="M384" s="276"/>
      <c r="N384" s="277"/>
      <c r="O384" s="277"/>
      <c r="P384" s="277"/>
      <c r="Q384" s="277"/>
      <c r="S384" s="277"/>
      <c r="T384" s="277"/>
      <c r="V384" s="154"/>
      <c r="W384" s="154"/>
      <c r="X384" s="154"/>
      <c r="Y384" s="154"/>
      <c r="Z384" s="154"/>
      <c r="AA384" s="154"/>
    </row>
    <row r="385" spans="1:27" s="278" customFormat="1" x14ac:dyDescent="0.25">
      <c r="A385" s="143"/>
      <c r="B385" s="139"/>
      <c r="C385" s="130"/>
      <c r="D385" s="133"/>
      <c r="E385" s="166"/>
      <c r="F385" s="275"/>
      <c r="G385" s="275"/>
      <c r="H385" s="275"/>
      <c r="I385" s="276"/>
      <c r="J385" s="276"/>
      <c r="K385" s="276"/>
      <c r="L385" s="276"/>
      <c r="M385" s="276"/>
      <c r="N385" s="277"/>
      <c r="O385" s="277"/>
      <c r="P385" s="277"/>
      <c r="Q385" s="277"/>
      <c r="S385" s="277"/>
      <c r="T385" s="277"/>
      <c r="V385" s="154"/>
      <c r="W385" s="154"/>
      <c r="X385" s="154"/>
      <c r="Y385" s="154"/>
      <c r="Z385" s="154"/>
      <c r="AA385" s="154"/>
    </row>
    <row r="386" spans="1:27" s="278" customFormat="1" x14ac:dyDescent="0.25">
      <c r="A386" s="143"/>
      <c r="B386" s="139"/>
      <c r="C386" s="130"/>
      <c r="D386" s="133"/>
      <c r="E386" s="166"/>
      <c r="F386" s="275"/>
      <c r="G386" s="275"/>
      <c r="H386" s="275"/>
      <c r="I386" s="276"/>
      <c r="J386" s="276"/>
      <c r="K386" s="276"/>
      <c r="L386" s="276"/>
      <c r="M386" s="276"/>
      <c r="N386" s="277"/>
      <c r="O386" s="277"/>
      <c r="P386" s="277"/>
      <c r="Q386" s="277"/>
      <c r="S386" s="277"/>
      <c r="T386" s="277"/>
      <c r="V386" s="154"/>
      <c r="W386" s="154"/>
      <c r="X386" s="154"/>
      <c r="Y386" s="154"/>
      <c r="Z386" s="154"/>
      <c r="AA386" s="154"/>
    </row>
    <row r="387" spans="1:27" s="278" customFormat="1" x14ac:dyDescent="0.25">
      <c r="A387" s="143"/>
      <c r="B387" s="139"/>
      <c r="C387" s="130"/>
      <c r="D387" s="133"/>
      <c r="E387" s="166"/>
      <c r="F387" s="275"/>
      <c r="G387" s="275"/>
      <c r="H387" s="275"/>
      <c r="I387" s="276"/>
      <c r="J387" s="276"/>
      <c r="K387" s="276"/>
      <c r="L387" s="276"/>
      <c r="M387" s="276"/>
      <c r="N387" s="277"/>
      <c r="O387" s="277"/>
      <c r="P387" s="277"/>
      <c r="Q387" s="277"/>
      <c r="S387" s="277"/>
      <c r="T387" s="277"/>
      <c r="V387" s="154"/>
      <c r="W387" s="154"/>
      <c r="X387" s="154"/>
      <c r="Y387" s="154"/>
      <c r="Z387" s="154"/>
      <c r="AA387" s="154"/>
    </row>
    <row r="388" spans="1:27" s="278" customFormat="1" x14ac:dyDescent="0.25">
      <c r="A388" s="143"/>
      <c r="B388" s="139"/>
      <c r="C388" s="130"/>
      <c r="D388" s="133"/>
      <c r="E388" s="166"/>
      <c r="F388" s="275"/>
      <c r="G388" s="275"/>
      <c r="H388" s="275"/>
      <c r="I388" s="276"/>
      <c r="J388" s="276"/>
      <c r="K388" s="276"/>
      <c r="L388" s="276"/>
      <c r="M388" s="276"/>
      <c r="N388" s="277"/>
      <c r="O388" s="277"/>
      <c r="P388" s="277"/>
      <c r="Q388" s="277"/>
      <c r="S388" s="277"/>
      <c r="T388" s="277"/>
      <c r="V388" s="154"/>
      <c r="W388" s="154"/>
      <c r="X388" s="154"/>
      <c r="Y388" s="154"/>
      <c r="Z388" s="154"/>
      <c r="AA388" s="154"/>
    </row>
    <row r="389" spans="1:27" s="278" customFormat="1" x14ac:dyDescent="0.25">
      <c r="A389" s="143"/>
      <c r="B389" s="139"/>
      <c r="C389" s="130"/>
      <c r="D389" s="133"/>
      <c r="E389" s="166"/>
      <c r="F389" s="275"/>
      <c r="G389" s="275"/>
      <c r="H389" s="275"/>
      <c r="I389" s="276"/>
      <c r="J389" s="276"/>
      <c r="K389" s="276"/>
      <c r="L389" s="276"/>
      <c r="M389" s="276"/>
      <c r="N389" s="277"/>
      <c r="O389" s="277"/>
      <c r="P389" s="277"/>
      <c r="Q389" s="277"/>
      <c r="S389" s="277"/>
      <c r="T389" s="277"/>
      <c r="V389" s="154"/>
      <c r="W389" s="154"/>
      <c r="X389" s="154"/>
      <c r="Y389" s="154"/>
      <c r="Z389" s="154"/>
      <c r="AA389" s="154"/>
    </row>
    <row r="390" spans="1:27" s="278" customFormat="1" x14ac:dyDescent="0.25">
      <c r="A390" s="143"/>
      <c r="B390" s="139"/>
      <c r="C390" s="130"/>
      <c r="D390" s="133"/>
      <c r="E390" s="166"/>
      <c r="F390" s="275"/>
      <c r="G390" s="275"/>
      <c r="H390" s="275"/>
      <c r="I390" s="276"/>
      <c r="J390" s="276"/>
      <c r="K390" s="276"/>
      <c r="L390" s="276"/>
      <c r="M390" s="276"/>
      <c r="N390" s="277"/>
      <c r="O390" s="277"/>
      <c r="P390" s="277"/>
      <c r="Q390" s="277"/>
      <c r="S390" s="277"/>
      <c r="T390" s="277"/>
      <c r="V390" s="154"/>
      <c r="W390" s="154"/>
      <c r="X390" s="154"/>
      <c r="Y390" s="154"/>
      <c r="Z390" s="154"/>
      <c r="AA390" s="154"/>
    </row>
    <row r="391" spans="1:27" s="278" customFormat="1" x14ac:dyDescent="0.25">
      <c r="A391" s="143"/>
      <c r="B391" s="139"/>
      <c r="C391" s="130"/>
      <c r="D391" s="133"/>
      <c r="E391" s="166"/>
      <c r="F391" s="275"/>
      <c r="G391" s="275"/>
      <c r="H391" s="275"/>
      <c r="I391" s="276"/>
      <c r="J391" s="276"/>
      <c r="K391" s="276"/>
      <c r="L391" s="276"/>
      <c r="M391" s="276"/>
      <c r="N391" s="277"/>
      <c r="O391" s="277"/>
      <c r="P391" s="277"/>
      <c r="Q391" s="277"/>
      <c r="S391" s="277"/>
      <c r="T391" s="277"/>
      <c r="V391" s="154"/>
      <c r="W391" s="154"/>
      <c r="X391" s="154"/>
      <c r="Y391" s="154"/>
      <c r="Z391" s="154"/>
      <c r="AA391" s="154"/>
    </row>
    <row r="392" spans="1:27" s="278" customFormat="1" x14ac:dyDescent="0.25">
      <c r="A392" s="143"/>
      <c r="B392" s="139"/>
      <c r="C392" s="130"/>
      <c r="D392" s="133"/>
      <c r="E392" s="166"/>
      <c r="F392" s="275"/>
      <c r="G392" s="275"/>
      <c r="H392" s="275"/>
      <c r="I392" s="276"/>
      <c r="J392" s="276"/>
      <c r="K392" s="276"/>
      <c r="L392" s="276"/>
      <c r="M392" s="276"/>
      <c r="N392" s="277"/>
      <c r="O392" s="277"/>
      <c r="P392" s="277"/>
      <c r="Q392" s="277"/>
      <c r="S392" s="277"/>
      <c r="T392" s="277"/>
      <c r="V392" s="154"/>
      <c r="W392" s="154"/>
      <c r="X392" s="154"/>
      <c r="Y392" s="154"/>
      <c r="Z392" s="154"/>
      <c r="AA392" s="154"/>
    </row>
    <row r="393" spans="1:27" s="278" customFormat="1" x14ac:dyDescent="0.25">
      <c r="A393" s="143"/>
      <c r="B393" s="139"/>
      <c r="C393" s="130"/>
      <c r="D393" s="133"/>
      <c r="E393" s="166"/>
      <c r="F393" s="275"/>
      <c r="G393" s="275"/>
      <c r="H393" s="275"/>
      <c r="I393" s="276"/>
      <c r="J393" s="276"/>
      <c r="K393" s="276"/>
      <c r="L393" s="276"/>
      <c r="M393" s="279"/>
      <c r="P393" s="280"/>
      <c r="Q393" s="280"/>
      <c r="S393" s="277"/>
      <c r="T393" s="277"/>
      <c r="V393" s="154"/>
      <c r="W393" s="154"/>
      <c r="X393" s="154"/>
      <c r="Y393" s="154"/>
      <c r="Z393" s="154"/>
      <c r="AA393" s="154"/>
    </row>
    <row r="394" spans="1:27" s="278" customFormat="1" x14ac:dyDescent="0.25">
      <c r="A394" s="143"/>
      <c r="B394" s="139"/>
      <c r="C394" s="130"/>
      <c r="D394" s="133"/>
      <c r="E394" s="166"/>
      <c r="F394" s="275"/>
      <c r="G394" s="275"/>
      <c r="H394" s="275"/>
      <c r="I394" s="276"/>
      <c r="J394" s="276"/>
      <c r="K394" s="276"/>
      <c r="L394" s="276"/>
      <c r="M394" s="279"/>
      <c r="P394" s="280"/>
      <c r="Q394" s="280"/>
      <c r="S394" s="277"/>
      <c r="T394" s="277"/>
      <c r="V394" s="154"/>
      <c r="W394" s="154"/>
      <c r="X394" s="154"/>
      <c r="Y394" s="154"/>
      <c r="Z394" s="154"/>
      <c r="AA394" s="154"/>
    </row>
    <row r="395" spans="1:27" s="278" customFormat="1" x14ac:dyDescent="0.25">
      <c r="A395" s="143"/>
      <c r="B395" s="139"/>
      <c r="C395" s="130"/>
      <c r="D395" s="133"/>
      <c r="E395" s="166"/>
      <c r="F395" s="275"/>
      <c r="G395" s="275"/>
      <c r="H395" s="275"/>
      <c r="I395" s="276"/>
      <c r="J395" s="276"/>
      <c r="K395" s="276"/>
      <c r="L395" s="276"/>
      <c r="M395" s="279"/>
      <c r="P395" s="280"/>
      <c r="Q395" s="280"/>
      <c r="S395" s="277"/>
      <c r="T395" s="277"/>
      <c r="V395" s="154"/>
      <c r="W395" s="154"/>
      <c r="X395" s="154"/>
      <c r="Y395" s="154"/>
      <c r="Z395" s="154"/>
      <c r="AA395" s="154"/>
    </row>
    <row r="396" spans="1:27" s="278" customFormat="1" x14ac:dyDescent="0.25">
      <c r="A396" s="143"/>
      <c r="B396" s="139"/>
      <c r="C396" s="130"/>
      <c r="D396" s="133"/>
      <c r="E396" s="166"/>
      <c r="F396" s="275"/>
      <c r="G396" s="275"/>
      <c r="H396" s="275"/>
      <c r="I396" s="276"/>
      <c r="J396" s="276"/>
      <c r="K396" s="276"/>
      <c r="L396" s="276"/>
      <c r="M396" s="279"/>
      <c r="P396" s="280"/>
      <c r="Q396" s="280"/>
      <c r="S396" s="277"/>
      <c r="T396" s="277"/>
      <c r="V396" s="154"/>
      <c r="W396" s="154"/>
      <c r="X396" s="154"/>
      <c r="Y396" s="154"/>
      <c r="Z396" s="154"/>
      <c r="AA396" s="154"/>
    </row>
    <row r="397" spans="1:27" s="278" customFormat="1" x14ac:dyDescent="0.25">
      <c r="A397" s="143"/>
      <c r="B397" s="139"/>
      <c r="C397" s="130"/>
      <c r="D397" s="133"/>
      <c r="E397" s="166"/>
      <c r="F397" s="275"/>
      <c r="G397" s="275"/>
      <c r="H397" s="275"/>
      <c r="I397" s="276"/>
      <c r="J397" s="276"/>
      <c r="K397" s="276"/>
      <c r="L397" s="276"/>
      <c r="M397" s="279"/>
      <c r="P397" s="280"/>
      <c r="Q397" s="280"/>
      <c r="S397" s="277"/>
      <c r="T397" s="277"/>
      <c r="V397" s="154"/>
      <c r="W397" s="154"/>
      <c r="X397" s="154"/>
      <c r="Y397" s="154"/>
      <c r="Z397" s="154"/>
      <c r="AA397" s="154"/>
    </row>
    <row r="398" spans="1:27" s="278" customFormat="1" x14ac:dyDescent="0.25">
      <c r="A398" s="143"/>
      <c r="B398" s="139"/>
      <c r="C398" s="130"/>
      <c r="D398" s="133"/>
      <c r="E398" s="166"/>
      <c r="F398" s="275"/>
      <c r="G398" s="275"/>
      <c r="H398" s="275"/>
      <c r="I398" s="276"/>
      <c r="J398" s="276"/>
      <c r="K398" s="276"/>
      <c r="L398" s="276"/>
      <c r="M398" s="279"/>
      <c r="P398" s="280"/>
      <c r="Q398" s="280"/>
      <c r="S398" s="277"/>
      <c r="T398" s="277"/>
      <c r="V398" s="154"/>
      <c r="W398" s="154"/>
      <c r="X398" s="154"/>
      <c r="Y398" s="154"/>
      <c r="Z398" s="154"/>
      <c r="AA398" s="154"/>
    </row>
    <row r="399" spans="1:27" s="278" customFormat="1" x14ac:dyDescent="0.25">
      <c r="A399" s="143"/>
      <c r="B399" s="139"/>
      <c r="C399" s="130"/>
      <c r="D399" s="133"/>
      <c r="E399" s="166"/>
      <c r="F399" s="275"/>
      <c r="G399" s="275"/>
      <c r="H399" s="275"/>
      <c r="I399" s="276"/>
      <c r="J399" s="276"/>
      <c r="K399" s="276"/>
      <c r="L399" s="276"/>
      <c r="M399" s="279"/>
      <c r="P399" s="280"/>
      <c r="Q399" s="280"/>
      <c r="S399" s="277"/>
      <c r="T399" s="277"/>
      <c r="V399" s="154"/>
      <c r="W399" s="154"/>
      <c r="X399" s="154"/>
      <c r="Y399" s="154"/>
      <c r="Z399" s="154"/>
      <c r="AA399" s="154"/>
    </row>
    <row r="400" spans="1:27" s="279" customFormat="1" x14ac:dyDescent="0.25">
      <c r="A400" s="143"/>
      <c r="B400" s="139"/>
      <c r="C400" s="130"/>
      <c r="D400" s="133"/>
      <c r="E400" s="166"/>
      <c r="F400" s="275"/>
      <c r="G400" s="275"/>
      <c r="H400" s="275"/>
      <c r="I400" s="276"/>
      <c r="J400" s="276"/>
      <c r="K400" s="276"/>
      <c r="L400" s="276"/>
      <c r="N400" s="278"/>
      <c r="O400" s="278"/>
      <c r="P400" s="280"/>
      <c r="Q400" s="280"/>
      <c r="R400" s="278"/>
      <c r="S400" s="277"/>
      <c r="T400" s="277"/>
      <c r="U400" s="278"/>
      <c r="V400" s="154"/>
      <c r="W400" s="154"/>
      <c r="X400" s="154"/>
      <c r="Y400" s="154"/>
      <c r="Z400" s="154"/>
      <c r="AA400" s="154"/>
    </row>
    <row r="401" spans="1:27" s="279" customFormat="1" x14ac:dyDescent="0.25">
      <c r="A401" s="143"/>
      <c r="B401" s="139"/>
      <c r="C401" s="130"/>
      <c r="D401" s="133"/>
      <c r="E401" s="166"/>
      <c r="F401" s="275"/>
      <c r="G401" s="275"/>
      <c r="H401" s="275"/>
      <c r="I401" s="276"/>
      <c r="J401" s="276"/>
      <c r="K401" s="276"/>
      <c r="L401" s="276"/>
      <c r="N401" s="278"/>
      <c r="O401" s="278"/>
      <c r="P401" s="280"/>
      <c r="Q401" s="280"/>
      <c r="R401" s="278"/>
      <c r="S401" s="277"/>
      <c r="T401" s="277"/>
      <c r="U401" s="278"/>
      <c r="V401" s="154"/>
      <c r="W401" s="154"/>
      <c r="X401" s="154"/>
      <c r="Y401" s="154"/>
      <c r="Z401" s="154"/>
      <c r="AA401" s="154"/>
    </row>
    <row r="402" spans="1:27" s="279" customFormat="1" x14ac:dyDescent="0.25">
      <c r="A402" s="143"/>
      <c r="B402" s="139"/>
      <c r="C402" s="130"/>
      <c r="D402" s="133"/>
      <c r="E402" s="166"/>
      <c r="F402" s="275"/>
      <c r="G402" s="275"/>
      <c r="H402" s="275"/>
      <c r="I402" s="276"/>
      <c r="J402" s="276"/>
      <c r="K402" s="276"/>
      <c r="L402" s="276"/>
      <c r="N402" s="278"/>
      <c r="O402" s="278"/>
      <c r="P402" s="280"/>
      <c r="Q402" s="280"/>
      <c r="R402" s="278"/>
      <c r="S402" s="277"/>
      <c r="T402" s="277"/>
      <c r="U402" s="278"/>
      <c r="V402" s="154"/>
      <c r="W402" s="154"/>
      <c r="X402" s="154"/>
      <c r="Y402" s="154"/>
      <c r="Z402" s="154"/>
      <c r="AA402" s="154"/>
    </row>
    <row r="403" spans="1:27" s="279" customFormat="1" x14ac:dyDescent="0.25">
      <c r="A403" s="143"/>
      <c r="B403" s="139"/>
      <c r="C403" s="130"/>
      <c r="D403" s="133"/>
      <c r="E403" s="166"/>
      <c r="F403" s="275"/>
      <c r="G403" s="275"/>
      <c r="H403" s="275"/>
      <c r="I403" s="276"/>
      <c r="J403" s="276"/>
      <c r="K403" s="276"/>
      <c r="L403" s="276"/>
      <c r="N403" s="278"/>
      <c r="O403" s="278"/>
      <c r="P403" s="280"/>
      <c r="Q403" s="280"/>
      <c r="R403" s="278"/>
      <c r="S403" s="277"/>
      <c r="T403" s="277"/>
      <c r="U403" s="278"/>
      <c r="V403" s="154"/>
      <c r="W403" s="154"/>
      <c r="X403" s="154"/>
      <c r="Y403" s="154"/>
      <c r="Z403" s="154"/>
      <c r="AA403" s="154"/>
    </row>
    <row r="404" spans="1:27" s="279" customFormat="1" x14ac:dyDescent="0.25">
      <c r="A404" s="143"/>
      <c r="B404" s="139"/>
      <c r="C404" s="130"/>
      <c r="D404" s="133"/>
      <c r="E404" s="166"/>
      <c r="F404" s="275"/>
      <c r="G404" s="275"/>
      <c r="H404" s="275"/>
      <c r="I404" s="276"/>
      <c r="J404" s="276"/>
      <c r="K404" s="276"/>
      <c r="L404" s="276"/>
      <c r="N404" s="278"/>
      <c r="O404" s="278"/>
      <c r="P404" s="280"/>
      <c r="Q404" s="280"/>
      <c r="R404" s="278"/>
      <c r="S404" s="277"/>
      <c r="T404" s="277"/>
      <c r="U404" s="278"/>
      <c r="V404" s="154"/>
      <c r="W404" s="154"/>
      <c r="X404" s="154"/>
      <c r="Y404" s="154"/>
      <c r="Z404" s="154"/>
      <c r="AA404" s="154"/>
    </row>
    <row r="405" spans="1:27" s="279" customFormat="1" x14ac:dyDescent="0.25">
      <c r="A405" s="143"/>
      <c r="B405" s="139"/>
      <c r="C405" s="130"/>
      <c r="D405" s="133"/>
      <c r="E405" s="166"/>
      <c r="F405" s="275"/>
      <c r="G405" s="275"/>
      <c r="H405" s="275"/>
      <c r="I405" s="276"/>
      <c r="J405" s="276"/>
      <c r="K405" s="276"/>
      <c r="L405" s="276"/>
      <c r="N405" s="278"/>
      <c r="O405" s="278"/>
      <c r="P405" s="280"/>
      <c r="Q405" s="280"/>
      <c r="R405" s="278"/>
      <c r="S405" s="277"/>
      <c r="T405" s="277"/>
      <c r="U405" s="278"/>
      <c r="V405" s="154"/>
      <c r="W405" s="154"/>
      <c r="X405" s="154"/>
      <c r="Y405" s="154"/>
      <c r="Z405" s="154"/>
      <c r="AA405" s="154"/>
    </row>
    <row r="406" spans="1:27" s="279" customFormat="1" x14ac:dyDescent="0.25">
      <c r="A406" s="143"/>
      <c r="B406" s="139"/>
      <c r="C406" s="130"/>
      <c r="D406" s="133"/>
      <c r="E406" s="166"/>
      <c r="F406" s="275"/>
      <c r="G406" s="275"/>
      <c r="H406" s="275"/>
      <c r="I406" s="276"/>
      <c r="J406" s="276"/>
      <c r="K406" s="276"/>
      <c r="L406" s="276"/>
      <c r="N406" s="278"/>
      <c r="O406" s="278"/>
      <c r="P406" s="280"/>
      <c r="Q406" s="280"/>
      <c r="R406" s="278"/>
      <c r="S406" s="277"/>
      <c r="T406" s="277"/>
      <c r="U406" s="278"/>
      <c r="V406" s="154"/>
      <c r="W406" s="154"/>
      <c r="X406" s="154"/>
      <c r="Y406" s="154"/>
      <c r="Z406" s="154"/>
      <c r="AA406" s="154"/>
    </row>
    <row r="407" spans="1:27" s="279" customFormat="1" x14ac:dyDescent="0.25">
      <c r="A407" s="143"/>
      <c r="B407" s="139"/>
      <c r="C407" s="130"/>
      <c r="D407" s="133"/>
      <c r="E407" s="166"/>
      <c r="F407" s="275"/>
      <c r="G407" s="275"/>
      <c r="H407" s="275"/>
      <c r="I407" s="276"/>
      <c r="J407" s="276"/>
      <c r="K407" s="276"/>
      <c r="L407" s="276"/>
      <c r="N407" s="278"/>
      <c r="O407" s="278"/>
      <c r="P407" s="280"/>
      <c r="Q407" s="280"/>
      <c r="R407" s="278"/>
      <c r="S407" s="277"/>
      <c r="T407" s="277"/>
      <c r="U407" s="278"/>
      <c r="V407" s="154"/>
      <c r="W407" s="154"/>
      <c r="X407" s="154"/>
      <c r="Y407" s="154"/>
      <c r="Z407" s="154"/>
      <c r="AA407" s="154"/>
    </row>
    <row r="408" spans="1:27" s="279" customFormat="1" x14ac:dyDescent="0.25">
      <c r="A408" s="143"/>
      <c r="B408" s="139"/>
      <c r="C408" s="130"/>
      <c r="D408" s="133"/>
      <c r="E408" s="166"/>
      <c r="F408" s="275"/>
      <c r="G408" s="275"/>
      <c r="H408" s="275"/>
      <c r="I408" s="276"/>
      <c r="J408" s="276"/>
      <c r="K408" s="276"/>
      <c r="L408" s="276"/>
      <c r="N408" s="278"/>
      <c r="O408" s="278"/>
      <c r="P408" s="280"/>
      <c r="Q408" s="280"/>
      <c r="R408" s="278"/>
      <c r="S408" s="277"/>
      <c r="T408" s="277"/>
      <c r="U408" s="278"/>
      <c r="V408" s="154"/>
      <c r="W408" s="154"/>
      <c r="X408" s="154"/>
      <c r="Y408" s="154"/>
      <c r="Z408" s="154"/>
      <c r="AA408" s="154"/>
    </row>
    <row r="409" spans="1:27" s="279" customFormat="1" x14ac:dyDescent="0.25">
      <c r="A409" s="143"/>
      <c r="B409" s="139"/>
      <c r="C409" s="130"/>
      <c r="D409" s="133"/>
      <c r="E409" s="166"/>
      <c r="F409" s="275"/>
      <c r="G409" s="275"/>
      <c r="H409" s="275"/>
      <c r="I409" s="276"/>
      <c r="J409" s="276"/>
      <c r="K409" s="276"/>
      <c r="L409" s="276"/>
      <c r="N409" s="278"/>
      <c r="O409" s="278"/>
      <c r="P409" s="280"/>
      <c r="Q409" s="280"/>
      <c r="R409" s="278"/>
      <c r="S409" s="277"/>
      <c r="T409" s="277"/>
      <c r="U409" s="278"/>
      <c r="V409" s="154"/>
      <c r="W409" s="154"/>
      <c r="X409" s="154"/>
      <c r="Y409" s="154"/>
      <c r="Z409" s="154"/>
      <c r="AA409" s="154"/>
    </row>
    <row r="410" spans="1:27" s="279" customFormat="1" x14ac:dyDescent="0.25">
      <c r="A410" s="143"/>
      <c r="B410" s="139"/>
      <c r="C410" s="130"/>
      <c r="D410" s="133"/>
      <c r="E410" s="166"/>
      <c r="F410" s="275"/>
      <c r="G410" s="275"/>
      <c r="H410" s="275"/>
      <c r="I410" s="276"/>
      <c r="J410" s="276"/>
      <c r="K410" s="276"/>
      <c r="L410" s="276"/>
      <c r="N410" s="278"/>
      <c r="O410" s="278"/>
      <c r="P410" s="280"/>
      <c r="Q410" s="280"/>
      <c r="R410" s="278"/>
      <c r="S410" s="277"/>
      <c r="T410" s="277"/>
      <c r="U410" s="278"/>
      <c r="V410" s="154"/>
      <c r="W410" s="154"/>
      <c r="X410" s="154"/>
      <c r="Y410" s="154"/>
      <c r="Z410" s="154"/>
      <c r="AA410" s="154"/>
    </row>
  </sheetData>
  <mergeCells count="15">
    <mergeCell ref="A23:A28"/>
    <mergeCell ref="A1:B1"/>
    <mergeCell ref="F1:I1"/>
    <mergeCell ref="N1:P1"/>
    <mergeCell ref="A2:B2"/>
    <mergeCell ref="A4:B4"/>
    <mergeCell ref="A5:A12"/>
    <mergeCell ref="A13:A14"/>
    <mergeCell ref="A15:A19"/>
    <mergeCell ref="A20:A22"/>
    <mergeCell ref="A29:A35"/>
    <mergeCell ref="A36:A42"/>
    <mergeCell ref="A43:A46"/>
    <mergeCell ref="A48:A50"/>
    <mergeCell ref="A51:A60"/>
  </mergeCells>
  <pageMargins left="0.05" right="0.05" top="0.25" bottom="0.25" header="0" footer="0"/>
  <pageSetup fitToWidth="0" orientation="landscape" verticalDpi="0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785B-2E08-4252-AAAF-202948A06546}">
  <dimension ref="A1:R217"/>
  <sheetViews>
    <sheetView zoomScale="115" zoomScaleNormal="115" workbookViewId="0">
      <selection activeCell="A2" sqref="A2:B2"/>
    </sheetView>
  </sheetViews>
  <sheetFormatPr defaultColWidth="9.140625" defaultRowHeight="12.75" x14ac:dyDescent="0.25"/>
  <cols>
    <col min="1" max="1" width="20.5703125" style="15" customWidth="1"/>
    <col min="2" max="2" width="38.140625" style="34" customWidth="1"/>
    <col min="3" max="4" width="4.7109375" style="21" customWidth="1"/>
    <col min="5" max="5" width="4.7109375" style="86" customWidth="1"/>
    <col min="6" max="9" width="4.140625" style="65" customWidth="1"/>
    <col min="10" max="13" width="5.140625" style="65" customWidth="1"/>
    <col min="14" max="14" width="4.7109375" style="3" customWidth="1"/>
    <col min="15" max="15" width="5.140625" style="3" customWidth="1"/>
    <col min="16" max="16" width="4.7109375" style="3" customWidth="1"/>
    <col min="17" max="18" width="5.140625" style="3" customWidth="1"/>
    <col min="19" max="16384" width="9.140625" style="3"/>
  </cols>
  <sheetData>
    <row r="1" spans="1:18" s="1" customFormat="1" ht="11.25" customHeight="1" x14ac:dyDescent="0.25">
      <c r="A1" s="330" t="s">
        <v>9</v>
      </c>
      <c r="B1" s="331"/>
      <c r="C1" s="110" t="s">
        <v>145</v>
      </c>
      <c r="D1" s="110" t="s">
        <v>144</v>
      </c>
      <c r="E1" s="111" t="s">
        <v>175</v>
      </c>
      <c r="F1" s="319" t="s">
        <v>157</v>
      </c>
      <c r="G1" s="320"/>
      <c r="H1" s="320"/>
      <c r="I1" s="321"/>
      <c r="J1" s="43"/>
      <c r="K1" s="113" t="s">
        <v>1</v>
      </c>
      <c r="L1" s="43" t="s">
        <v>140</v>
      </c>
      <c r="M1" s="44"/>
      <c r="N1" s="319" t="s">
        <v>158</v>
      </c>
      <c r="O1" s="320"/>
      <c r="P1" s="321"/>
      <c r="Q1" s="43"/>
      <c r="R1" s="44" t="s">
        <v>163</v>
      </c>
    </row>
    <row r="2" spans="1:18" s="1" customFormat="1" ht="11.25" customHeight="1" x14ac:dyDescent="0.25">
      <c r="A2" s="324" t="s">
        <v>220</v>
      </c>
      <c r="B2" s="325"/>
      <c r="C2" s="112" t="s">
        <v>174</v>
      </c>
      <c r="D2" s="2" t="s">
        <v>174</v>
      </c>
      <c r="E2" s="2" t="s">
        <v>174</v>
      </c>
      <c r="F2" s="57" t="s">
        <v>153</v>
      </c>
      <c r="G2" s="57" t="s">
        <v>154</v>
      </c>
      <c r="H2" s="38"/>
      <c r="I2" s="44"/>
      <c r="J2" s="38"/>
      <c r="K2" s="57" t="s">
        <v>177</v>
      </c>
      <c r="L2" s="38" t="s">
        <v>141</v>
      </c>
      <c r="M2" s="4" t="s">
        <v>2</v>
      </c>
      <c r="N2" s="333" t="s">
        <v>159</v>
      </c>
      <c r="O2" s="335" t="s">
        <v>160</v>
      </c>
      <c r="P2" s="337" t="s">
        <v>161</v>
      </c>
      <c r="Q2" s="38" t="s">
        <v>163</v>
      </c>
      <c r="R2" s="2" t="s">
        <v>164</v>
      </c>
    </row>
    <row r="3" spans="1:18" s="61" customFormat="1" ht="11.25" customHeight="1" x14ac:dyDescent="0.25">
      <c r="A3" s="93"/>
      <c r="B3" s="58"/>
      <c r="C3" s="48" t="s">
        <v>176</v>
      </c>
      <c r="D3" s="48" t="s">
        <v>176</v>
      </c>
      <c r="E3" s="48" t="s">
        <v>176</v>
      </c>
      <c r="F3" s="60" t="s">
        <v>152</v>
      </c>
      <c r="G3" s="60" t="s">
        <v>155</v>
      </c>
      <c r="H3" s="60" t="s">
        <v>3</v>
      </c>
      <c r="I3" s="59" t="s">
        <v>4</v>
      </c>
      <c r="J3" s="60" t="s">
        <v>0</v>
      </c>
      <c r="K3" s="114" t="s">
        <v>178</v>
      </c>
      <c r="L3" s="60" t="s">
        <v>142</v>
      </c>
      <c r="M3" s="58" t="s">
        <v>143</v>
      </c>
      <c r="N3" s="334"/>
      <c r="O3" s="336"/>
      <c r="P3" s="338"/>
      <c r="Q3" s="99" t="s">
        <v>162</v>
      </c>
      <c r="R3" s="58" t="s">
        <v>165</v>
      </c>
    </row>
    <row r="4" spans="1:18" s="5" customFormat="1" ht="11.25" customHeight="1" x14ac:dyDescent="0.25">
      <c r="A4" s="322" t="s">
        <v>170</v>
      </c>
      <c r="B4" s="323"/>
      <c r="C4" s="107">
        <v>1935</v>
      </c>
      <c r="D4" s="107">
        <v>635</v>
      </c>
      <c r="E4" s="107">
        <v>2005</v>
      </c>
      <c r="F4" s="108">
        <v>159</v>
      </c>
      <c r="G4" s="108">
        <v>386</v>
      </c>
      <c r="H4" s="108">
        <v>505</v>
      </c>
      <c r="I4" s="109">
        <v>525</v>
      </c>
      <c r="J4" s="108">
        <v>1118</v>
      </c>
      <c r="K4" s="108">
        <v>507</v>
      </c>
      <c r="L4" s="108">
        <v>468</v>
      </c>
      <c r="M4" s="109">
        <v>465</v>
      </c>
      <c r="N4" s="108">
        <v>1041</v>
      </c>
      <c r="O4" s="108">
        <v>443</v>
      </c>
      <c r="P4" s="109">
        <v>96</v>
      </c>
      <c r="Q4" s="108">
        <v>430</v>
      </c>
      <c r="R4" s="109">
        <v>764</v>
      </c>
    </row>
    <row r="5" spans="1:18" s="7" customFormat="1" ht="1.5" customHeight="1" x14ac:dyDescent="0.25">
      <c r="A5" s="94"/>
      <c r="B5" s="33"/>
      <c r="C5" s="47"/>
      <c r="D5" s="47"/>
      <c r="E5" s="62"/>
      <c r="F5" s="63"/>
      <c r="G5" s="63"/>
      <c r="H5" s="63"/>
      <c r="I5" s="64"/>
      <c r="J5" s="63"/>
      <c r="K5" s="63"/>
      <c r="L5" s="63"/>
      <c r="M5" s="64"/>
      <c r="N5" s="63"/>
      <c r="O5" s="63"/>
      <c r="P5" s="64"/>
      <c r="Q5" s="63"/>
      <c r="R5" s="64"/>
    </row>
    <row r="6" spans="1:18" ht="11.25" customHeight="1" x14ac:dyDescent="0.25">
      <c r="A6" s="332" t="s">
        <v>156</v>
      </c>
      <c r="B6" s="34" t="s">
        <v>10</v>
      </c>
      <c r="D6" s="21">
        <v>0.46</v>
      </c>
      <c r="E6" s="11">
        <v>0.5</v>
      </c>
      <c r="F6" s="9">
        <v>0.38</v>
      </c>
      <c r="G6" s="9">
        <v>0.48</v>
      </c>
      <c r="H6" s="9">
        <v>0.54</v>
      </c>
      <c r="I6" s="11">
        <v>0.48</v>
      </c>
      <c r="J6" s="9">
        <v>0.46</v>
      </c>
      <c r="K6" s="9">
        <v>0.54</v>
      </c>
      <c r="L6" s="9">
        <v>0.51</v>
      </c>
      <c r="M6" s="11">
        <v>0.44</v>
      </c>
      <c r="N6" s="9">
        <v>0.52</v>
      </c>
      <c r="O6" s="9">
        <v>0.44</v>
      </c>
      <c r="P6" s="11">
        <v>0.46</v>
      </c>
      <c r="Q6" s="9">
        <v>0.46</v>
      </c>
      <c r="R6" s="11">
        <v>0.53</v>
      </c>
    </row>
    <row r="7" spans="1:18" ht="11.25" customHeight="1" x14ac:dyDescent="0.25">
      <c r="A7" s="317"/>
      <c r="B7" s="45" t="s">
        <v>135</v>
      </c>
      <c r="C7" s="48"/>
      <c r="D7" s="48">
        <v>0.27</v>
      </c>
      <c r="E7" s="30">
        <v>0.28999999999999998</v>
      </c>
      <c r="F7" s="66"/>
      <c r="G7" s="9"/>
      <c r="H7" s="66"/>
      <c r="I7" s="11"/>
      <c r="J7" s="9"/>
      <c r="K7" s="66"/>
      <c r="L7" s="9"/>
      <c r="M7" s="11"/>
      <c r="N7" s="40">
        <f>N4/SUM($N$4:$P$4)</f>
        <v>0.65886075949367084</v>
      </c>
      <c r="O7" s="40">
        <f t="shared" ref="O7:P7" si="0">O4/SUM($N$4:$P$4)</f>
        <v>0.28037974683544303</v>
      </c>
      <c r="P7" s="40">
        <f t="shared" si="0"/>
        <v>6.0759493670886074E-2</v>
      </c>
      <c r="Q7" s="40"/>
      <c r="R7" s="31"/>
    </row>
    <row r="8" spans="1:18" ht="11.25" customHeight="1" x14ac:dyDescent="0.25">
      <c r="A8" s="317"/>
      <c r="B8" s="34" t="s">
        <v>150</v>
      </c>
      <c r="E8" s="11">
        <v>0.18</v>
      </c>
      <c r="F8" s="9">
        <v>0.28000000000000003</v>
      </c>
      <c r="G8" s="9">
        <v>0.2</v>
      </c>
      <c r="H8" s="9">
        <v>0.12</v>
      </c>
      <c r="I8" s="11">
        <v>0.18</v>
      </c>
      <c r="J8" s="9">
        <v>0.2</v>
      </c>
      <c r="K8" s="9">
        <v>0.12</v>
      </c>
      <c r="L8" s="9">
        <v>0.15</v>
      </c>
      <c r="M8" s="11">
        <v>0.18</v>
      </c>
      <c r="N8" s="9">
        <v>0.16</v>
      </c>
      <c r="O8" s="9">
        <v>0.22</v>
      </c>
      <c r="P8" s="11">
        <v>0.25</v>
      </c>
      <c r="Q8" s="9">
        <v>0.26</v>
      </c>
      <c r="R8" s="11">
        <v>0.13</v>
      </c>
    </row>
    <row r="9" spans="1:18" ht="11.25" customHeight="1" x14ac:dyDescent="0.25">
      <c r="A9" s="317"/>
      <c r="B9" s="34" t="s">
        <v>151</v>
      </c>
      <c r="E9" s="11">
        <v>0.19</v>
      </c>
      <c r="F9" s="9">
        <v>0.16</v>
      </c>
      <c r="G9" s="9">
        <v>0.19</v>
      </c>
      <c r="H9" s="9">
        <v>0.18</v>
      </c>
      <c r="I9" s="11">
        <v>0.18</v>
      </c>
      <c r="J9" s="9">
        <v>0.21</v>
      </c>
      <c r="K9" s="9">
        <v>0.12</v>
      </c>
      <c r="L9" s="9">
        <v>0.17</v>
      </c>
      <c r="M9" s="11">
        <v>0.18</v>
      </c>
      <c r="N9" s="9">
        <v>0.15</v>
      </c>
      <c r="O9" s="9">
        <v>0.25</v>
      </c>
      <c r="P9" s="11">
        <v>0.13</v>
      </c>
      <c r="Q9" s="9">
        <v>0.21</v>
      </c>
      <c r="R9" s="11">
        <v>0.17</v>
      </c>
    </row>
    <row r="10" spans="1:18" ht="11.25" customHeight="1" x14ac:dyDescent="0.25">
      <c r="A10" s="317"/>
      <c r="B10" s="34" t="s">
        <v>11</v>
      </c>
      <c r="E10" s="11">
        <v>0.11</v>
      </c>
      <c r="F10" s="9">
        <v>0.26</v>
      </c>
      <c r="G10" s="9">
        <v>0.11</v>
      </c>
      <c r="H10" s="9">
        <v>7.0000000000000007E-2</v>
      </c>
      <c r="I10" s="11">
        <v>0.14000000000000001</v>
      </c>
      <c r="J10" s="9">
        <v>0.13</v>
      </c>
      <c r="K10" s="9">
        <v>0.1</v>
      </c>
      <c r="L10" s="9">
        <v>0.11</v>
      </c>
      <c r="M10" s="11">
        <v>0.15</v>
      </c>
      <c r="N10" s="9">
        <v>0.1</v>
      </c>
      <c r="O10" s="9">
        <v>0.18</v>
      </c>
      <c r="P10" s="11">
        <v>0.22</v>
      </c>
      <c r="Q10" s="9">
        <v>0.18</v>
      </c>
      <c r="R10" s="11">
        <v>0.09</v>
      </c>
    </row>
    <row r="11" spans="1:18" ht="11.25" customHeight="1" x14ac:dyDescent="0.25">
      <c r="A11" s="318"/>
      <c r="B11" s="34" t="s">
        <v>12</v>
      </c>
      <c r="D11" s="21">
        <v>0.26</v>
      </c>
      <c r="E11" s="11">
        <v>0.23</v>
      </c>
      <c r="F11" s="9">
        <v>0.25</v>
      </c>
      <c r="G11" s="9">
        <v>0.27</v>
      </c>
      <c r="H11" s="9">
        <v>0.23</v>
      </c>
      <c r="I11" s="11">
        <v>0.24</v>
      </c>
      <c r="J11" s="9">
        <v>0.24</v>
      </c>
      <c r="K11" s="9">
        <v>0.28000000000000003</v>
      </c>
      <c r="L11" s="9">
        <v>0.27</v>
      </c>
      <c r="M11" s="11">
        <v>0.3</v>
      </c>
      <c r="N11" s="9">
        <v>0.24</v>
      </c>
      <c r="O11" s="9">
        <v>0.26</v>
      </c>
      <c r="P11" s="11">
        <v>0.3</v>
      </c>
      <c r="Q11" s="9">
        <v>0.2</v>
      </c>
      <c r="R11" s="11">
        <v>0.26</v>
      </c>
    </row>
    <row r="12" spans="1:18" s="7" customFormat="1" ht="6" customHeight="1" x14ac:dyDescent="0.25">
      <c r="A12" s="103"/>
      <c r="B12" s="33"/>
      <c r="C12" s="47"/>
      <c r="D12" s="47"/>
      <c r="E12" s="62"/>
      <c r="F12" s="63"/>
      <c r="G12" s="63"/>
      <c r="H12" s="63"/>
      <c r="I12" s="64"/>
      <c r="J12" s="63"/>
      <c r="K12" s="63"/>
      <c r="L12" s="63"/>
      <c r="M12" s="64"/>
      <c r="N12" s="63"/>
      <c r="O12" s="63"/>
      <c r="P12" s="64"/>
      <c r="Q12" s="63"/>
      <c r="R12" s="64"/>
    </row>
    <row r="13" spans="1:18" ht="11.25" customHeight="1" x14ac:dyDescent="0.25">
      <c r="A13" s="317" t="s">
        <v>13</v>
      </c>
      <c r="B13" s="34" t="s">
        <v>10</v>
      </c>
      <c r="D13" s="21">
        <v>0.41</v>
      </c>
      <c r="E13" s="67">
        <v>0.32</v>
      </c>
      <c r="F13" s="68">
        <v>0.27</v>
      </c>
      <c r="G13" s="68">
        <v>0.28999999999999998</v>
      </c>
      <c r="H13" s="68">
        <v>0.36</v>
      </c>
      <c r="I13" s="67">
        <v>0.28000000000000003</v>
      </c>
      <c r="J13" s="68">
        <v>0.28999999999999998</v>
      </c>
      <c r="K13" s="68">
        <v>0.32</v>
      </c>
      <c r="L13" s="68">
        <v>0.3</v>
      </c>
      <c r="M13" s="67">
        <v>0.25</v>
      </c>
      <c r="N13" s="68">
        <v>0.33</v>
      </c>
      <c r="O13" s="68">
        <v>0.25600000000000001</v>
      </c>
      <c r="P13" s="67">
        <v>0.28000000000000003</v>
      </c>
      <c r="Q13" s="68">
        <v>0.27</v>
      </c>
      <c r="R13" s="67">
        <v>0.33</v>
      </c>
    </row>
    <row r="14" spans="1:18" ht="11.25" customHeight="1" x14ac:dyDescent="0.25">
      <c r="A14" s="317"/>
      <c r="B14" s="45" t="s">
        <v>136</v>
      </c>
      <c r="C14" s="48"/>
      <c r="D14" s="69">
        <f t="shared" ref="D14:G14" si="1">SUM(D15:D17)</f>
        <v>0.32999999999999996</v>
      </c>
      <c r="E14" s="70">
        <f t="shared" si="1"/>
        <v>0.40499999999999997</v>
      </c>
      <c r="F14" s="71">
        <f t="shared" si="1"/>
        <v>0.45600000000000002</v>
      </c>
      <c r="G14" s="72">
        <f t="shared" si="1"/>
        <v>0.42070000000000002</v>
      </c>
      <c r="H14" s="72">
        <f t="shared" ref="H14:M14" si="2">SUM(H15:H17)</f>
        <v>0.37</v>
      </c>
      <c r="I14" s="70">
        <f t="shared" si="2"/>
        <v>0.40899999999999997</v>
      </c>
      <c r="J14" s="72">
        <f t="shared" si="2"/>
        <v>0.433</v>
      </c>
      <c r="K14" s="72">
        <f t="shared" si="2"/>
        <v>0.33100000000000002</v>
      </c>
      <c r="L14" s="72">
        <f t="shared" si="2"/>
        <v>0.37</v>
      </c>
      <c r="M14" s="72">
        <f t="shared" si="2"/>
        <v>0.41300000000000003</v>
      </c>
      <c r="N14" s="72">
        <f t="shared" ref="N14:P14" si="3">SUM(N15:N17)</f>
        <v>0.39599999999999996</v>
      </c>
      <c r="O14" s="72">
        <f t="shared" si="3"/>
        <v>0.42000000000000004</v>
      </c>
      <c r="P14" s="70">
        <f t="shared" si="3"/>
        <v>0.4</v>
      </c>
      <c r="Q14" s="72">
        <f t="shared" ref="Q14:R14" si="4">SUM(Q15:Q17)</f>
        <v>0.49789999999999995</v>
      </c>
      <c r="R14" s="70">
        <f t="shared" si="4"/>
        <v>0.36</v>
      </c>
    </row>
    <row r="15" spans="1:18" ht="11.25" customHeight="1" x14ac:dyDescent="0.25">
      <c r="A15" s="317"/>
      <c r="B15" s="37" t="s">
        <v>14</v>
      </c>
      <c r="C15" s="49"/>
      <c r="D15" s="49">
        <v>0.21</v>
      </c>
      <c r="E15" s="67">
        <v>0.25700000000000001</v>
      </c>
      <c r="F15" s="73">
        <v>0.27200000000000002</v>
      </c>
      <c r="G15" s="68">
        <v>0.252</v>
      </c>
      <c r="H15" s="68">
        <v>0.26</v>
      </c>
      <c r="I15" s="67">
        <v>0.24299999999999999</v>
      </c>
      <c r="J15" s="68">
        <v>0.26300000000000001</v>
      </c>
      <c r="K15" s="68">
        <v>0.22600000000000001</v>
      </c>
      <c r="L15" s="68">
        <v>0.23</v>
      </c>
      <c r="M15" s="67">
        <v>0.26700000000000002</v>
      </c>
      <c r="N15" s="68">
        <v>0.22800000000000001</v>
      </c>
      <c r="O15" s="68">
        <v>0.31</v>
      </c>
      <c r="P15" s="67">
        <v>0.28420000000000001</v>
      </c>
      <c r="Q15" s="68">
        <v>0.29299999999999998</v>
      </c>
      <c r="R15" s="67">
        <v>0.24</v>
      </c>
    </row>
    <row r="16" spans="1:18" ht="11.25" customHeight="1" x14ac:dyDescent="0.25">
      <c r="A16" s="317"/>
      <c r="B16" s="34" t="s">
        <v>15</v>
      </c>
      <c r="D16" s="21">
        <v>0.08</v>
      </c>
      <c r="E16" s="67">
        <v>0.106</v>
      </c>
      <c r="F16" s="73">
        <v>0.127</v>
      </c>
      <c r="G16" s="68">
        <v>0.12470000000000001</v>
      </c>
      <c r="H16" s="68">
        <v>7.0000000000000007E-2</v>
      </c>
      <c r="I16" s="67">
        <v>0.13</v>
      </c>
      <c r="J16" s="68">
        <v>0.13</v>
      </c>
      <c r="K16" s="68">
        <v>8.6999999999999994E-2</v>
      </c>
      <c r="L16" s="68">
        <v>0.11</v>
      </c>
      <c r="M16" s="67">
        <v>0.114</v>
      </c>
      <c r="N16" s="68">
        <v>0.11899999999999999</v>
      </c>
      <c r="O16" s="68">
        <v>0.09</v>
      </c>
      <c r="P16" s="67">
        <v>9.4700000000000006E-2</v>
      </c>
      <c r="Q16" s="68">
        <v>0.13489999999999999</v>
      </c>
      <c r="R16" s="67">
        <v>0.1</v>
      </c>
    </row>
    <row r="17" spans="1:18" ht="11.25" customHeight="1" x14ac:dyDescent="0.25">
      <c r="A17" s="317"/>
      <c r="B17" s="34" t="s">
        <v>127</v>
      </c>
      <c r="D17" s="21">
        <v>0.04</v>
      </c>
      <c r="E17" s="67">
        <v>4.2000000000000003E-2</v>
      </c>
      <c r="F17" s="73">
        <v>5.7000000000000002E-2</v>
      </c>
      <c r="G17" s="68">
        <v>4.3999999999999997E-2</v>
      </c>
      <c r="H17" s="68">
        <v>0.04</v>
      </c>
      <c r="I17" s="67">
        <v>3.5999999999999997E-2</v>
      </c>
      <c r="J17" s="68">
        <v>0.04</v>
      </c>
      <c r="K17" s="68">
        <v>1.7999999999999999E-2</v>
      </c>
      <c r="L17" s="68">
        <v>0.03</v>
      </c>
      <c r="M17" s="67">
        <v>3.2000000000000001E-2</v>
      </c>
      <c r="N17" s="68">
        <v>4.9000000000000002E-2</v>
      </c>
      <c r="O17" s="68">
        <v>0.02</v>
      </c>
      <c r="P17" s="67">
        <v>2.1100000000000001E-2</v>
      </c>
      <c r="Q17" s="68">
        <v>7.0000000000000007E-2</v>
      </c>
      <c r="R17" s="67">
        <v>0.02</v>
      </c>
    </row>
    <row r="18" spans="1:18" ht="11.25" customHeight="1" x14ac:dyDescent="0.25">
      <c r="A18" s="317"/>
      <c r="B18" s="45" t="s">
        <v>137</v>
      </c>
      <c r="C18" s="48"/>
      <c r="D18" s="69">
        <f>D19+D20</f>
        <v>0.26</v>
      </c>
      <c r="E18" s="69">
        <f>E19+E20</f>
        <v>0.27200000000000002</v>
      </c>
      <c r="F18" s="71">
        <f>F19+F20</f>
        <v>0.27800000000000002</v>
      </c>
      <c r="G18" s="72">
        <f>G19+G20</f>
        <v>0.28799999999999998</v>
      </c>
      <c r="H18" s="72">
        <f t="shared" ref="H18:J18" si="5">H19+H20</f>
        <v>0.27</v>
      </c>
      <c r="I18" s="70">
        <f t="shared" si="5"/>
        <v>0.312</v>
      </c>
      <c r="J18" s="72">
        <f t="shared" si="5"/>
        <v>0.28000000000000003</v>
      </c>
      <c r="K18" s="72">
        <f t="shared" ref="K18" si="6">K19+K20</f>
        <v>0.35</v>
      </c>
      <c r="L18" s="72">
        <f t="shared" ref="L18" si="7">L19+L20</f>
        <v>0.32800000000000001</v>
      </c>
      <c r="M18" s="70">
        <f t="shared" ref="M18:P18" si="8">M19+M20</f>
        <v>0.34200000000000003</v>
      </c>
      <c r="N18" s="72">
        <f t="shared" si="8"/>
        <v>0.27504339440694314</v>
      </c>
      <c r="O18" s="72">
        <f t="shared" si="8"/>
        <v>0.317</v>
      </c>
      <c r="P18" s="70">
        <f t="shared" si="8"/>
        <v>0.31000000000000005</v>
      </c>
      <c r="Q18" s="72">
        <f t="shared" ref="Q18:R18" si="9">Q19+Q20</f>
        <v>0.22999999999999998</v>
      </c>
      <c r="R18" s="70">
        <f t="shared" si="9"/>
        <v>0.31</v>
      </c>
    </row>
    <row r="19" spans="1:18" ht="11.25" customHeight="1" x14ac:dyDescent="0.25">
      <c r="A19" s="317"/>
      <c r="B19" s="34" t="s">
        <v>16</v>
      </c>
      <c r="D19" s="21">
        <v>0.2</v>
      </c>
      <c r="E19" s="67">
        <v>0.223</v>
      </c>
      <c r="F19" s="73">
        <v>0.215</v>
      </c>
      <c r="G19" s="68">
        <v>0.24399999999999999</v>
      </c>
      <c r="H19" s="68">
        <v>0.22</v>
      </c>
      <c r="I19" s="67">
        <v>0.249</v>
      </c>
      <c r="J19" s="68">
        <v>0.23</v>
      </c>
      <c r="K19" s="68">
        <v>0.28999999999999998</v>
      </c>
      <c r="L19" s="68">
        <v>0.27400000000000002</v>
      </c>
      <c r="M19" s="67">
        <v>0.26700000000000002</v>
      </c>
      <c r="N19" s="68">
        <f>223/1037</f>
        <v>0.21504339440694312</v>
      </c>
      <c r="O19" s="68">
        <v>0.26700000000000002</v>
      </c>
      <c r="P19" s="67">
        <v>0.28000000000000003</v>
      </c>
      <c r="Q19" s="68">
        <v>0.18</v>
      </c>
      <c r="R19" s="67">
        <v>0.26</v>
      </c>
    </row>
    <row r="20" spans="1:18" ht="11.25" customHeight="1" x14ac:dyDescent="0.25">
      <c r="A20" s="318"/>
      <c r="B20" s="34" t="s">
        <v>128</v>
      </c>
      <c r="D20" s="21">
        <v>0.06</v>
      </c>
      <c r="E20" s="67">
        <v>4.9000000000000002E-2</v>
      </c>
      <c r="F20" s="73">
        <v>6.3E-2</v>
      </c>
      <c r="G20" s="68">
        <v>4.3999999999999997E-2</v>
      </c>
      <c r="H20" s="68">
        <v>0.05</v>
      </c>
      <c r="I20" s="67">
        <v>6.3E-2</v>
      </c>
      <c r="J20" s="68">
        <v>0.05</v>
      </c>
      <c r="K20" s="68">
        <v>0.06</v>
      </c>
      <c r="L20" s="68">
        <v>5.3999999999999999E-2</v>
      </c>
      <c r="M20" s="67">
        <v>7.4999999999999997E-2</v>
      </c>
      <c r="N20" s="68">
        <v>0.06</v>
      </c>
      <c r="O20" s="68">
        <v>0.05</v>
      </c>
      <c r="P20" s="67">
        <v>0.03</v>
      </c>
      <c r="Q20" s="68">
        <v>0.05</v>
      </c>
      <c r="R20" s="67">
        <v>0.05</v>
      </c>
    </row>
    <row r="21" spans="1:18" s="7" customFormat="1" ht="6" customHeight="1" x14ac:dyDescent="0.25">
      <c r="A21" s="103"/>
      <c r="B21" s="33"/>
      <c r="C21" s="47"/>
      <c r="D21" s="47"/>
      <c r="E21" s="62"/>
      <c r="F21" s="74"/>
      <c r="G21" s="74"/>
      <c r="H21" s="74"/>
      <c r="I21" s="98"/>
      <c r="J21" s="74"/>
      <c r="K21" s="63"/>
      <c r="L21" s="63"/>
      <c r="M21" s="64"/>
      <c r="N21" s="63"/>
      <c r="O21" s="63"/>
      <c r="P21" s="64"/>
      <c r="Q21" s="63"/>
      <c r="R21" s="64"/>
    </row>
    <row r="22" spans="1:18" ht="11.25" customHeight="1" x14ac:dyDescent="0.25">
      <c r="A22" s="317" t="s">
        <v>17</v>
      </c>
      <c r="B22" s="35" t="s">
        <v>18</v>
      </c>
      <c r="C22" s="11"/>
      <c r="D22" s="11"/>
      <c r="E22" s="11">
        <v>0.68359999999999999</v>
      </c>
      <c r="F22" s="101">
        <v>0.44</v>
      </c>
      <c r="G22" s="26">
        <v>0.67190000000000005</v>
      </c>
      <c r="H22" s="26">
        <v>0.78490000000000004</v>
      </c>
      <c r="I22" s="27">
        <v>0.65200000000000002</v>
      </c>
      <c r="J22" s="26">
        <v>0.65400000000000003</v>
      </c>
      <c r="K22" s="9">
        <v>0.75</v>
      </c>
      <c r="L22" s="9">
        <v>0.72499999999999998</v>
      </c>
      <c r="M22" s="11">
        <v>0.67</v>
      </c>
      <c r="N22" s="9">
        <v>0.68400000000000005</v>
      </c>
      <c r="O22" s="9">
        <v>0.65600000000000003</v>
      </c>
      <c r="P22" s="11">
        <v>0.69799999999999995</v>
      </c>
      <c r="Q22" s="9">
        <v>0.55479999999999996</v>
      </c>
      <c r="R22" s="11">
        <v>0.73799999999999999</v>
      </c>
    </row>
    <row r="23" spans="1:18" ht="11.25" customHeight="1" x14ac:dyDescent="0.25">
      <c r="A23" s="317"/>
      <c r="B23" s="35" t="s">
        <v>19</v>
      </c>
      <c r="C23" s="11"/>
      <c r="D23" s="11"/>
      <c r="E23" s="11">
        <v>6.7500000000000004E-2</v>
      </c>
      <c r="F23" s="9">
        <v>5.7000000000000002E-2</v>
      </c>
      <c r="G23" s="9">
        <v>6.25E-2</v>
      </c>
      <c r="H23" s="9">
        <v>6.5699999999999995E-2</v>
      </c>
      <c r="I23" s="11">
        <v>7.6499999999999999E-2</v>
      </c>
      <c r="J23" s="9">
        <v>7.9000000000000001E-2</v>
      </c>
      <c r="K23" s="9">
        <v>0.03</v>
      </c>
      <c r="L23" s="9">
        <v>3.6999999999999998E-2</v>
      </c>
      <c r="M23" s="11">
        <v>0.05</v>
      </c>
      <c r="N23" s="9">
        <v>6.7000000000000004E-2</v>
      </c>
      <c r="O23" s="9">
        <v>6.0999999999999999E-2</v>
      </c>
      <c r="P23" s="11">
        <v>0.104</v>
      </c>
      <c r="Q23" s="9">
        <v>6.9900000000000004E-2</v>
      </c>
      <c r="R23" s="11">
        <v>5.7000000000000002E-2</v>
      </c>
    </row>
    <row r="24" spans="1:18" ht="11.25" customHeight="1" x14ac:dyDescent="0.25">
      <c r="A24" s="317"/>
      <c r="B24" s="34" t="s">
        <v>20</v>
      </c>
      <c r="E24" s="11">
        <f>1-E22-E23</f>
        <v>0.24890000000000001</v>
      </c>
      <c r="F24" s="10">
        <f>1-F22-F23</f>
        <v>0.503</v>
      </c>
      <c r="G24" s="9">
        <f>1-G22-G23</f>
        <v>0.26559999999999995</v>
      </c>
      <c r="H24" s="9">
        <f t="shared" ref="H24:I24" si="10">1-H22-H23</f>
        <v>0.14939999999999998</v>
      </c>
      <c r="I24" s="11">
        <f t="shared" si="10"/>
        <v>0.27149999999999996</v>
      </c>
      <c r="J24" s="9">
        <f>1-J22-J23</f>
        <v>0.26699999999999996</v>
      </c>
      <c r="K24" s="9">
        <f t="shared" ref="K24" si="11">1-K22-K23</f>
        <v>0.22</v>
      </c>
      <c r="L24" s="9">
        <f t="shared" ref="L24" si="12">1-L22-L23</f>
        <v>0.23800000000000002</v>
      </c>
      <c r="M24" s="11">
        <f t="shared" ref="M24:P24" si="13">1-M22-M23</f>
        <v>0.27999999999999997</v>
      </c>
      <c r="N24" s="9">
        <f t="shared" si="13"/>
        <v>0.24899999999999994</v>
      </c>
      <c r="O24" s="9">
        <f t="shared" si="13"/>
        <v>0.28299999999999997</v>
      </c>
      <c r="P24" s="11">
        <f t="shared" si="13"/>
        <v>0.19800000000000006</v>
      </c>
      <c r="Q24" s="9">
        <f t="shared" ref="Q24:R24" si="14">1-Q22-Q23</f>
        <v>0.37530000000000002</v>
      </c>
      <c r="R24" s="11">
        <f t="shared" si="14"/>
        <v>0.20500000000000002</v>
      </c>
    </row>
    <row r="25" spans="1:18" ht="11.25" customHeight="1" x14ac:dyDescent="0.25">
      <c r="A25" s="317"/>
      <c r="B25" s="45" t="s">
        <v>21</v>
      </c>
      <c r="C25" s="48"/>
      <c r="D25" s="48"/>
      <c r="E25" s="11"/>
      <c r="F25" s="10"/>
      <c r="G25" s="9"/>
      <c r="H25" s="9"/>
      <c r="I25" s="11"/>
      <c r="J25" s="9"/>
      <c r="K25" s="9"/>
      <c r="L25" s="9"/>
      <c r="M25" s="11"/>
      <c r="N25" s="9"/>
      <c r="O25" s="9"/>
      <c r="P25" s="11"/>
      <c r="Q25" s="9"/>
      <c r="R25" s="11"/>
    </row>
    <row r="26" spans="1:18" ht="11.25" customHeight="1" x14ac:dyDescent="0.25">
      <c r="A26" s="317"/>
      <c r="B26" s="34" t="s">
        <v>22</v>
      </c>
      <c r="D26" s="21">
        <v>0.38</v>
      </c>
      <c r="E26" s="11">
        <f>0.139/E$24</f>
        <v>0.55845721173161911</v>
      </c>
      <c r="F26" s="9">
        <f>0.327/F24</f>
        <v>0.6500994035785288</v>
      </c>
      <c r="G26" s="9">
        <f>0.164/G24</f>
        <v>0.61746987951807242</v>
      </c>
      <c r="H26" s="9">
        <f>0.06/H24</f>
        <v>0.4016064257028113</v>
      </c>
      <c r="I26" s="11">
        <f>0.155/I24</f>
        <v>0.57090239410681409</v>
      </c>
      <c r="J26" s="9">
        <f>0.156/J24</f>
        <v>0.58426966292134841</v>
      </c>
      <c r="K26" s="9">
        <f>0.12/K24</f>
        <v>0.54545454545454541</v>
      </c>
      <c r="L26" s="9">
        <f>0.139/L24</f>
        <v>0.58403361344537819</v>
      </c>
      <c r="M26" s="11">
        <f>0.162/M24</f>
        <v>0.57857142857142863</v>
      </c>
      <c r="N26" s="9">
        <f>0.142/N24</f>
        <v>0.57028112449799206</v>
      </c>
      <c r="O26" s="9">
        <f>0.158/O$24</f>
        <v>0.55830388692579513</v>
      </c>
      <c r="P26" s="11">
        <f>0.115/P24</f>
        <v>0.58080808080808066</v>
      </c>
      <c r="Q26" s="9">
        <f>0.221/Q24</f>
        <v>0.58886224353850247</v>
      </c>
      <c r="R26" s="11">
        <f>0.113/R24</f>
        <v>0.55121951219512189</v>
      </c>
    </row>
    <row r="27" spans="1:18" ht="11.25" customHeight="1" x14ac:dyDescent="0.25">
      <c r="A27" s="317"/>
      <c r="B27" s="45" t="s">
        <v>138</v>
      </c>
      <c r="D27" s="48"/>
      <c r="E27" s="30">
        <f>1-E26</f>
        <v>0.44154278826838089</v>
      </c>
      <c r="F27" s="29">
        <f t="shared" ref="F27:I27" si="15">1-F26</f>
        <v>0.3499005964214712</v>
      </c>
      <c r="G27" s="29">
        <f t="shared" si="15"/>
        <v>0.38253012048192758</v>
      </c>
      <c r="H27" s="29">
        <f t="shared" si="15"/>
        <v>0.59839357429718865</v>
      </c>
      <c r="I27" s="30">
        <f t="shared" si="15"/>
        <v>0.42909760589318591</v>
      </c>
      <c r="J27" s="29">
        <f t="shared" ref="J27" si="16">1-J26</f>
        <v>0.41573033707865159</v>
      </c>
      <c r="K27" s="29">
        <f t="shared" ref="K27" si="17">1-K26</f>
        <v>0.45454545454545459</v>
      </c>
      <c r="L27" s="29">
        <f t="shared" ref="L27" si="18">1-L26</f>
        <v>0.41596638655462181</v>
      </c>
      <c r="M27" s="30">
        <f t="shared" ref="M27:P27" si="19">1-M26</f>
        <v>0.42142857142857137</v>
      </c>
      <c r="N27" s="29">
        <f t="shared" si="19"/>
        <v>0.42971887550200794</v>
      </c>
      <c r="O27" s="29">
        <f t="shared" si="19"/>
        <v>0.44169611307420487</v>
      </c>
      <c r="P27" s="30">
        <f t="shared" si="19"/>
        <v>0.41919191919191934</v>
      </c>
      <c r="Q27" s="29">
        <f t="shared" ref="Q27" si="20">1-Q26</f>
        <v>0.41113775646149753</v>
      </c>
      <c r="R27" s="30">
        <f t="shared" ref="R27" si="21">1-R26</f>
        <v>0.44878048780487811</v>
      </c>
    </row>
    <row r="28" spans="1:18" ht="11.25" customHeight="1" x14ac:dyDescent="0.25">
      <c r="A28" s="317"/>
      <c r="B28" s="34" t="s">
        <v>23</v>
      </c>
      <c r="D28" s="21">
        <v>0.41</v>
      </c>
      <c r="E28" s="11">
        <f>0.0887/E$24</f>
        <v>0.35636801928485334</v>
      </c>
      <c r="F28" s="9">
        <f>0.157/F$24</f>
        <v>0.31212723658051689</v>
      </c>
      <c r="G28" s="9">
        <f>0.102/G24</f>
        <v>0.38403614457831331</v>
      </c>
      <c r="H28" s="9">
        <f>0.071/H$24</f>
        <v>0.47523427041499333</v>
      </c>
      <c r="I28" s="11">
        <f t="shared" ref="I28" si="22">0.09/I$24</f>
        <v>0.33149171270718236</v>
      </c>
      <c r="J28" s="9">
        <f>0.09/J$24</f>
        <v>0.3370786516853933</v>
      </c>
      <c r="K28" s="9">
        <f>0.091/K$24</f>
        <v>0.41363636363636364</v>
      </c>
      <c r="L28" s="9">
        <f>0.097/L$24</f>
        <v>0.40756302521008403</v>
      </c>
      <c r="M28" s="11">
        <f>0.099/M$24</f>
        <v>0.35357142857142865</v>
      </c>
      <c r="N28" s="9">
        <f>0.092/N$24</f>
        <v>0.36947791164658644</v>
      </c>
      <c r="O28" s="9">
        <f>0.111/O24</f>
        <v>0.39222614840989406</v>
      </c>
      <c r="P28" s="11">
        <f>0.042/P$24</f>
        <v>0.21212121212121207</v>
      </c>
      <c r="Q28" s="9">
        <f>0.145/Q$24</f>
        <v>0.38635758060218489</v>
      </c>
      <c r="R28" s="11">
        <f>0.07/R$24</f>
        <v>0.34146341463414637</v>
      </c>
    </row>
    <row r="29" spans="1:18" ht="11.25" customHeight="1" x14ac:dyDescent="0.25">
      <c r="A29" s="317"/>
      <c r="B29" s="34" t="s">
        <v>24</v>
      </c>
      <c r="D29" s="21">
        <v>0.24</v>
      </c>
      <c r="E29" s="11">
        <f>0.0877/E$24</f>
        <v>0.35235034150261146</v>
      </c>
      <c r="F29" s="9">
        <f>0.145/F$24</f>
        <v>0.28827037773359837</v>
      </c>
      <c r="G29" s="9">
        <f>0.083/G24</f>
        <v>0.31250000000000006</v>
      </c>
      <c r="H29" s="9">
        <f>0.066/H$24</f>
        <v>0.44176706827309248</v>
      </c>
      <c r="I29" s="11">
        <f t="shared" ref="I29" si="23">0.094/I$24</f>
        <v>0.34622467771639048</v>
      </c>
      <c r="J29" s="9">
        <f>0.094/J$24</f>
        <v>0.35205992509363299</v>
      </c>
      <c r="K29" s="9">
        <f>0.065/K$24</f>
        <v>0.29545454545454547</v>
      </c>
      <c r="L29" s="9">
        <f>0.088/L$24</f>
        <v>0.36974789915966383</v>
      </c>
      <c r="M29" s="11">
        <f t="shared" ref="M29" si="24">0.1/M$24</f>
        <v>0.35714285714285721</v>
      </c>
      <c r="N29" s="9">
        <f>0.073/N24</f>
        <v>0.29317269076305225</v>
      </c>
      <c r="O29" s="9">
        <f>0.118/O24</f>
        <v>0.41696113074204949</v>
      </c>
      <c r="P29" s="11">
        <f>0.094/P$24</f>
        <v>0.47474747474747458</v>
      </c>
      <c r="Q29" s="9">
        <f>0.145/Q$24</f>
        <v>0.38635758060218489</v>
      </c>
      <c r="R29" s="11">
        <f>0.066/R$24</f>
        <v>0.32195121951219513</v>
      </c>
    </row>
    <row r="30" spans="1:18" ht="11.25" customHeight="1" x14ac:dyDescent="0.25">
      <c r="A30" s="318"/>
      <c r="B30" s="34" t="s">
        <v>139</v>
      </c>
      <c r="D30" s="21">
        <v>0.04</v>
      </c>
      <c r="E30" s="11">
        <f>0.0368/E$24</f>
        <v>0.14785054238650058</v>
      </c>
      <c r="F30" s="28">
        <f>0.063/F$24</f>
        <v>0.12524850894632206</v>
      </c>
      <c r="G30" s="28">
        <f>0.031/G24</f>
        <v>0.11671686746987954</v>
      </c>
      <c r="H30" s="28">
        <f>0.034/H$24</f>
        <v>0.22757697456492643</v>
      </c>
      <c r="I30" s="54">
        <f>0.04/I$24</f>
        <v>0.14732965009208104</v>
      </c>
      <c r="J30" s="28">
        <f>0.039/J$24</f>
        <v>0.1460674157303371</v>
      </c>
      <c r="K30" s="28">
        <f>0.03/K$24</f>
        <v>0.13636363636363635</v>
      </c>
      <c r="L30" s="28">
        <f>0.041/L$24</f>
        <v>0.17226890756302521</v>
      </c>
      <c r="M30" s="11">
        <f>0.041/M$24</f>
        <v>0.14642857142857146</v>
      </c>
      <c r="N30" s="9">
        <f>0.036/N24</f>
        <v>0.14457831325301207</v>
      </c>
      <c r="O30" s="9">
        <f>0.047/O24</f>
        <v>0.16607773851590107</v>
      </c>
      <c r="P30" s="11">
        <f>0.021/P$24</f>
        <v>0.10606060606060604</v>
      </c>
      <c r="Q30" s="9">
        <f>0.054/Q$24</f>
        <v>0.14388489208633093</v>
      </c>
      <c r="R30" s="11">
        <f>0.0354/R$24</f>
        <v>0.17268292682926828</v>
      </c>
    </row>
    <row r="31" spans="1:18" s="7" customFormat="1" ht="6" customHeight="1" x14ac:dyDescent="0.25">
      <c r="A31" s="103"/>
      <c r="B31" s="33"/>
      <c r="C31" s="47"/>
      <c r="D31" s="47"/>
      <c r="E31" s="62"/>
      <c r="F31" s="75"/>
      <c r="G31" s="63"/>
      <c r="H31" s="63"/>
      <c r="I31" s="64"/>
      <c r="J31" s="63"/>
      <c r="K31" s="63"/>
      <c r="L31" s="63"/>
      <c r="M31" s="64"/>
      <c r="N31" s="63"/>
      <c r="O31" s="63"/>
      <c r="P31" s="64"/>
      <c r="Q31" s="63"/>
      <c r="R31" s="64"/>
    </row>
    <row r="32" spans="1:18" ht="11.25" customHeight="1" x14ac:dyDescent="0.25">
      <c r="A32" s="317" t="s">
        <v>25</v>
      </c>
      <c r="B32" s="34" t="s">
        <v>26</v>
      </c>
      <c r="C32" s="21">
        <v>0.56999999999999995</v>
      </c>
      <c r="E32" s="11">
        <v>0.28000000000000003</v>
      </c>
      <c r="F32" s="10">
        <v>0.3</v>
      </c>
      <c r="G32" s="9">
        <v>0.27</v>
      </c>
      <c r="H32" s="9">
        <v>0.26</v>
      </c>
      <c r="I32" s="11">
        <v>0.28000000000000003</v>
      </c>
      <c r="J32" s="9">
        <v>0.27</v>
      </c>
      <c r="K32" s="9">
        <v>0.32</v>
      </c>
      <c r="L32" s="9">
        <v>0.31</v>
      </c>
      <c r="M32" s="11">
        <v>0.33</v>
      </c>
      <c r="N32" s="9">
        <v>0.23</v>
      </c>
      <c r="O32" s="9">
        <v>0.38</v>
      </c>
      <c r="P32" s="11">
        <v>0.3</v>
      </c>
      <c r="Q32" s="9">
        <v>0.22</v>
      </c>
      <c r="R32" s="11">
        <v>0.28000000000000003</v>
      </c>
    </row>
    <row r="33" spans="1:18" ht="11.25" customHeight="1" x14ac:dyDescent="0.25">
      <c r="A33" s="317"/>
      <c r="B33" s="34" t="s">
        <v>27</v>
      </c>
      <c r="C33" s="21">
        <v>0.12</v>
      </c>
      <c r="E33" s="11">
        <v>0.16</v>
      </c>
      <c r="F33" s="9">
        <v>0.11</v>
      </c>
      <c r="G33" s="9">
        <v>0.15</v>
      </c>
      <c r="H33" s="9">
        <v>0.16</v>
      </c>
      <c r="I33" s="11">
        <v>0.16</v>
      </c>
      <c r="J33" s="9">
        <v>0.17</v>
      </c>
      <c r="K33" s="9">
        <v>0.14000000000000001</v>
      </c>
      <c r="L33" s="9">
        <v>0.16</v>
      </c>
      <c r="M33" s="11">
        <v>0.15</v>
      </c>
      <c r="N33" s="9">
        <v>0.11</v>
      </c>
      <c r="O33" s="9">
        <v>0.23</v>
      </c>
      <c r="P33" s="11">
        <v>0.34</v>
      </c>
      <c r="Q33" s="9">
        <v>0.14000000000000001</v>
      </c>
      <c r="R33" s="11">
        <v>0.16</v>
      </c>
    </row>
    <row r="34" spans="1:18" ht="11.25" customHeight="1" x14ac:dyDescent="0.25">
      <c r="A34" s="318"/>
      <c r="B34" s="34" t="s">
        <v>32</v>
      </c>
      <c r="C34" s="21">
        <v>0.32</v>
      </c>
      <c r="E34" s="54">
        <v>0.56000000000000005</v>
      </c>
      <c r="F34" s="28">
        <v>0.57999999999999996</v>
      </c>
      <c r="G34" s="28">
        <v>0.57999999999999996</v>
      </c>
      <c r="H34" s="28">
        <v>0.56999999999999995</v>
      </c>
      <c r="I34" s="11">
        <v>0.55000000000000004</v>
      </c>
      <c r="J34" s="28">
        <v>0.56000000000000005</v>
      </c>
      <c r="K34" s="28">
        <v>0.54</v>
      </c>
      <c r="L34" s="28">
        <v>0.53</v>
      </c>
      <c r="M34" s="11">
        <v>0.52</v>
      </c>
      <c r="N34" s="9">
        <v>0.66</v>
      </c>
      <c r="O34" s="9">
        <v>0.39</v>
      </c>
      <c r="P34" s="11">
        <v>0.35</v>
      </c>
      <c r="Q34" s="9">
        <v>0.63</v>
      </c>
      <c r="R34" s="11">
        <v>0.56000000000000005</v>
      </c>
    </row>
    <row r="35" spans="1:18" s="7" customFormat="1" ht="6" customHeight="1" x14ac:dyDescent="0.25">
      <c r="A35" s="103"/>
      <c r="B35" s="33"/>
      <c r="C35" s="47"/>
      <c r="D35" s="106"/>
      <c r="E35" s="62"/>
      <c r="F35" s="63"/>
      <c r="G35" s="63"/>
      <c r="H35" s="63"/>
      <c r="I35" s="64"/>
      <c r="J35" s="63"/>
      <c r="K35" s="63"/>
      <c r="L35" s="63"/>
      <c r="M35" s="64"/>
      <c r="N35" s="63"/>
      <c r="O35" s="63"/>
      <c r="P35" s="64"/>
      <c r="Q35" s="63"/>
      <c r="R35" s="64"/>
    </row>
    <row r="36" spans="1:18" ht="11.25" customHeight="1" x14ac:dyDescent="0.25">
      <c r="A36" s="317" t="s">
        <v>28</v>
      </c>
      <c r="B36" s="34" t="s">
        <v>29</v>
      </c>
      <c r="C36" s="21">
        <v>0.8</v>
      </c>
      <c r="E36" s="11">
        <v>0.52</v>
      </c>
      <c r="F36" s="10">
        <v>0.48</v>
      </c>
      <c r="G36" s="9">
        <v>0.55000000000000004</v>
      </c>
      <c r="H36" s="9">
        <v>0.54</v>
      </c>
      <c r="I36" s="11">
        <v>0.53</v>
      </c>
      <c r="J36" s="9">
        <v>0.5</v>
      </c>
      <c r="K36" s="9">
        <v>0.65</v>
      </c>
      <c r="L36" s="9">
        <v>0.6</v>
      </c>
      <c r="M36" s="11">
        <v>0.61</v>
      </c>
      <c r="N36" s="9">
        <v>0.54</v>
      </c>
      <c r="O36" s="9">
        <v>0.56000000000000005</v>
      </c>
      <c r="P36" s="11">
        <v>0.39</v>
      </c>
      <c r="Q36" s="9">
        <v>0.43</v>
      </c>
      <c r="R36" s="11">
        <v>0.63</v>
      </c>
    </row>
    <row r="37" spans="1:18" ht="11.25" customHeight="1" x14ac:dyDescent="0.25">
      <c r="A37" s="317"/>
      <c r="B37" s="34" t="s">
        <v>30</v>
      </c>
      <c r="C37" s="21">
        <v>0.11</v>
      </c>
      <c r="E37" s="11">
        <v>0.2</v>
      </c>
      <c r="F37" s="9">
        <v>0.28000000000000003</v>
      </c>
      <c r="G37" s="9">
        <v>0.22</v>
      </c>
      <c r="H37" s="9">
        <v>0.17</v>
      </c>
      <c r="I37" s="11">
        <v>0.19</v>
      </c>
      <c r="J37" s="9">
        <v>0.22</v>
      </c>
      <c r="K37" s="9">
        <v>0.18</v>
      </c>
      <c r="L37" s="9">
        <v>0.2</v>
      </c>
      <c r="M37" s="11">
        <v>0.21</v>
      </c>
      <c r="N37" s="9">
        <v>0.17</v>
      </c>
      <c r="O37" s="9">
        <v>0.23</v>
      </c>
      <c r="P37" s="11">
        <v>0.37</v>
      </c>
      <c r="Q37" s="9">
        <v>0.31</v>
      </c>
      <c r="R37" s="11">
        <v>0.15</v>
      </c>
    </row>
    <row r="38" spans="1:18" ht="11.25" customHeight="1" x14ac:dyDescent="0.25">
      <c r="A38" s="318"/>
      <c r="B38" s="34" t="s">
        <v>31</v>
      </c>
      <c r="C38" s="21">
        <v>0.09</v>
      </c>
      <c r="E38" s="54">
        <v>0.28000000000000003</v>
      </c>
      <c r="F38" s="28">
        <v>0.24</v>
      </c>
      <c r="G38" s="28">
        <v>0.23</v>
      </c>
      <c r="H38" s="28">
        <v>0.28999999999999998</v>
      </c>
      <c r="I38" s="11">
        <f>143/520</f>
        <v>0.27500000000000002</v>
      </c>
      <c r="J38" s="28">
        <v>0.28000000000000003</v>
      </c>
      <c r="K38" s="28">
        <v>0.18</v>
      </c>
      <c r="L38" s="28">
        <v>0.2</v>
      </c>
      <c r="M38" s="11">
        <v>0.19</v>
      </c>
      <c r="N38" s="9">
        <v>0.28999999999999998</v>
      </c>
      <c r="O38" s="9">
        <v>0.21</v>
      </c>
      <c r="P38" s="11">
        <v>0.24</v>
      </c>
      <c r="Q38" s="9">
        <v>0.26</v>
      </c>
      <c r="R38" s="11">
        <v>0.22</v>
      </c>
    </row>
    <row r="39" spans="1:18" s="7" customFormat="1" ht="6" customHeight="1" x14ac:dyDescent="0.25">
      <c r="A39" s="104"/>
      <c r="B39" s="33"/>
      <c r="C39" s="47"/>
      <c r="D39" s="47"/>
      <c r="E39" s="62"/>
      <c r="F39" s="63"/>
      <c r="G39" s="63"/>
      <c r="H39" s="63"/>
      <c r="I39" s="64"/>
      <c r="J39" s="63"/>
      <c r="K39" s="63"/>
      <c r="L39" s="63"/>
      <c r="M39" s="64"/>
      <c r="N39" s="63"/>
      <c r="O39" s="63"/>
      <c r="P39" s="64"/>
      <c r="Q39" s="63"/>
      <c r="R39" s="64"/>
    </row>
    <row r="40" spans="1:18" ht="11.25" customHeight="1" x14ac:dyDescent="0.25">
      <c r="A40" s="317" t="s">
        <v>33</v>
      </c>
      <c r="B40" s="34">
        <v>0</v>
      </c>
      <c r="E40" s="11">
        <v>0.57999999999999996</v>
      </c>
      <c r="F40" s="9">
        <v>0.63</v>
      </c>
      <c r="G40" s="9">
        <v>0.61</v>
      </c>
      <c r="H40" s="9">
        <v>0.57999999999999996</v>
      </c>
      <c r="I40" s="11">
        <v>0.56000000000000005</v>
      </c>
      <c r="J40" s="9">
        <v>0.57999999999999996</v>
      </c>
      <c r="K40" s="9">
        <v>0.56999999999999995</v>
      </c>
      <c r="L40" s="9">
        <v>0.55000000000000004</v>
      </c>
      <c r="M40" s="11">
        <v>0.56000000000000005</v>
      </c>
      <c r="N40" s="9">
        <v>0.66</v>
      </c>
      <c r="O40" s="9">
        <v>0.45</v>
      </c>
      <c r="P40" s="11">
        <v>0.4</v>
      </c>
      <c r="Q40" s="9">
        <v>0.65</v>
      </c>
      <c r="R40" s="11">
        <f>454/763</f>
        <v>0.59501965923984268</v>
      </c>
    </row>
    <row r="41" spans="1:18" ht="11.25" customHeight="1" x14ac:dyDescent="0.25">
      <c r="A41" s="317"/>
      <c r="B41" s="34">
        <v>1</v>
      </c>
      <c r="E41" s="11">
        <v>0.15</v>
      </c>
      <c r="F41" s="9">
        <v>0.14000000000000001</v>
      </c>
      <c r="G41" s="9">
        <v>0.13</v>
      </c>
      <c r="H41" s="9">
        <v>0.15</v>
      </c>
      <c r="I41" s="11">
        <v>0.18</v>
      </c>
      <c r="J41" s="9">
        <v>0.16</v>
      </c>
      <c r="K41" s="9">
        <v>0.16</v>
      </c>
      <c r="L41" s="9">
        <v>0.15</v>
      </c>
      <c r="M41" s="11">
        <v>0.15</v>
      </c>
      <c r="N41" s="9">
        <v>0.17</v>
      </c>
      <c r="O41" s="9">
        <v>0.15</v>
      </c>
      <c r="P41" s="11">
        <v>0.04</v>
      </c>
      <c r="Q41" s="9">
        <v>0.12</v>
      </c>
      <c r="R41" s="11">
        <v>0.17</v>
      </c>
    </row>
    <row r="42" spans="1:18" ht="11.25" customHeight="1" x14ac:dyDescent="0.25">
      <c r="A42" s="317"/>
      <c r="B42" s="46" t="s">
        <v>34</v>
      </c>
      <c r="C42" s="25"/>
      <c r="D42" s="25"/>
      <c r="E42" s="11">
        <v>0.21</v>
      </c>
      <c r="F42" s="9">
        <v>0.19</v>
      </c>
      <c r="G42" s="9">
        <v>0.22</v>
      </c>
      <c r="H42" s="9">
        <v>0.2</v>
      </c>
      <c r="I42" s="11">
        <v>0.21</v>
      </c>
      <c r="J42" s="9">
        <v>0.21</v>
      </c>
      <c r="K42" s="9">
        <v>0.22</v>
      </c>
      <c r="L42" s="9">
        <v>0.22</v>
      </c>
      <c r="M42" s="11">
        <v>0.23</v>
      </c>
      <c r="N42" s="9">
        <v>0.15</v>
      </c>
      <c r="O42" s="9">
        <v>0.34</v>
      </c>
      <c r="P42" s="11">
        <v>0.25</v>
      </c>
      <c r="Q42" s="9">
        <v>0.19</v>
      </c>
      <c r="R42" s="11">
        <v>0.19</v>
      </c>
    </row>
    <row r="43" spans="1:18" ht="11.25" customHeight="1" x14ac:dyDescent="0.25">
      <c r="A43" s="318"/>
      <c r="B43" s="34" t="s">
        <v>129</v>
      </c>
      <c r="E43" s="11">
        <v>0.06</v>
      </c>
      <c r="F43" s="9">
        <v>0.04</v>
      </c>
      <c r="G43" s="9">
        <v>0.04</v>
      </c>
      <c r="H43" s="9">
        <v>7.0000000000000007E-2</v>
      </c>
      <c r="I43" s="11">
        <v>0.05</v>
      </c>
      <c r="J43" s="9">
        <v>0.06</v>
      </c>
      <c r="K43" s="9">
        <v>0.06</v>
      </c>
      <c r="L43" s="9">
        <v>7.0000000000000007E-2</v>
      </c>
      <c r="M43" s="11">
        <v>0.06</v>
      </c>
      <c r="N43" s="9">
        <v>0.03</v>
      </c>
      <c r="O43" s="9">
        <v>0.05</v>
      </c>
      <c r="P43" s="11">
        <v>0.31</v>
      </c>
      <c r="Q43" s="9">
        <v>0.04</v>
      </c>
      <c r="R43" s="11">
        <v>0.04</v>
      </c>
    </row>
    <row r="44" spans="1:18" s="7" customFormat="1" ht="6" customHeight="1" x14ac:dyDescent="0.25">
      <c r="A44" s="103"/>
      <c r="B44" s="33"/>
      <c r="C44" s="47"/>
      <c r="D44" s="47"/>
      <c r="E44" s="62"/>
      <c r="F44" s="63"/>
      <c r="G44" s="63"/>
      <c r="H44" s="63"/>
      <c r="I44" s="64"/>
      <c r="J44" s="63"/>
      <c r="K44" s="63"/>
      <c r="L44" s="63"/>
      <c r="M44" s="64"/>
      <c r="N44" s="63"/>
      <c r="O44" s="63"/>
      <c r="P44" s="64"/>
      <c r="Q44" s="63"/>
      <c r="R44" s="64"/>
    </row>
    <row r="45" spans="1:18" ht="11.25" customHeight="1" x14ac:dyDescent="0.25">
      <c r="A45" s="317" t="s">
        <v>65</v>
      </c>
      <c r="B45" s="34">
        <v>0</v>
      </c>
      <c r="E45" s="76">
        <v>0.4</v>
      </c>
      <c r="F45" s="77">
        <v>0.48</v>
      </c>
      <c r="G45" s="77">
        <v>0.39</v>
      </c>
      <c r="H45" s="77">
        <v>0.37</v>
      </c>
      <c r="I45" s="76">
        <v>0.36</v>
      </c>
      <c r="J45" s="77">
        <v>0.42</v>
      </c>
      <c r="K45" s="77">
        <v>0.27</v>
      </c>
      <c r="L45" s="77">
        <v>0.31</v>
      </c>
      <c r="M45" s="76">
        <v>0.31</v>
      </c>
      <c r="N45" s="77">
        <v>0.39</v>
      </c>
      <c r="O45" s="77">
        <v>0.36</v>
      </c>
      <c r="P45" s="76">
        <v>0.46</v>
      </c>
      <c r="Q45" s="77">
        <v>0.52</v>
      </c>
      <c r="R45" s="76">
        <v>0.28000000000000003</v>
      </c>
    </row>
    <row r="46" spans="1:18" ht="11.25" customHeight="1" x14ac:dyDescent="0.25">
      <c r="A46" s="317"/>
      <c r="B46" s="34">
        <v>1</v>
      </c>
      <c r="E46" s="76">
        <v>0.05</v>
      </c>
      <c r="F46" s="77">
        <v>0.03</v>
      </c>
      <c r="G46" s="77">
        <v>0.03</v>
      </c>
      <c r="H46" s="77">
        <v>0.05</v>
      </c>
      <c r="I46" s="76">
        <v>7.0000000000000007E-2</v>
      </c>
      <c r="J46" s="77">
        <f>50/1112</f>
        <v>4.4964028776978415E-2</v>
      </c>
      <c r="K46" s="77">
        <v>0.05</v>
      </c>
      <c r="L46" s="77">
        <v>0.04</v>
      </c>
      <c r="M46" s="76">
        <v>0.04</v>
      </c>
      <c r="N46" s="77">
        <v>7.0000000000000007E-2</v>
      </c>
      <c r="O46" s="77">
        <v>0.02</v>
      </c>
      <c r="P46" s="76">
        <v>0.03</v>
      </c>
      <c r="Q46" s="77">
        <v>0.03</v>
      </c>
      <c r="R46" s="76">
        <v>0.06</v>
      </c>
    </row>
    <row r="47" spans="1:18" ht="11.25" customHeight="1" x14ac:dyDescent="0.25">
      <c r="A47" s="317"/>
      <c r="B47" s="46" t="s">
        <v>34</v>
      </c>
      <c r="C47" s="25"/>
      <c r="D47" s="25"/>
      <c r="E47" s="76">
        <v>0.32</v>
      </c>
      <c r="F47" s="77">
        <v>0.25</v>
      </c>
      <c r="G47" s="77">
        <v>0.33</v>
      </c>
      <c r="H47" s="77">
        <v>0.32</v>
      </c>
      <c r="I47" s="76">
        <v>0.35</v>
      </c>
      <c r="J47" s="77">
        <v>0.31</v>
      </c>
      <c r="K47" s="77">
        <v>0.35</v>
      </c>
      <c r="L47" s="77">
        <v>0.35</v>
      </c>
      <c r="M47" s="76">
        <v>0.32</v>
      </c>
      <c r="N47" s="77">
        <v>0.38</v>
      </c>
      <c r="O47" s="77">
        <v>0.25</v>
      </c>
      <c r="P47" s="76">
        <v>0.09</v>
      </c>
      <c r="Q47" s="77">
        <v>0.24</v>
      </c>
      <c r="R47" s="76">
        <v>0.4</v>
      </c>
    </row>
    <row r="48" spans="1:18" ht="11.25" customHeight="1" x14ac:dyDescent="0.25">
      <c r="A48" s="318"/>
      <c r="B48" s="34" t="s">
        <v>129</v>
      </c>
      <c r="E48" s="76">
        <v>0.23</v>
      </c>
      <c r="F48" s="77">
        <v>0.24</v>
      </c>
      <c r="G48" s="77">
        <v>0.24</v>
      </c>
      <c r="H48" s="77">
        <v>0.26</v>
      </c>
      <c r="I48" s="76">
        <v>0.21</v>
      </c>
      <c r="J48" s="77">
        <v>0.22</v>
      </c>
      <c r="K48" s="77">
        <v>0.33</v>
      </c>
      <c r="L48" s="77">
        <v>0.3</v>
      </c>
      <c r="M48" s="76">
        <v>0.32</v>
      </c>
      <c r="N48" s="77">
        <v>0.16</v>
      </c>
      <c r="O48" s="77">
        <v>0.37</v>
      </c>
      <c r="P48" s="76">
        <v>0.43</v>
      </c>
      <c r="Q48" s="77">
        <v>0.21</v>
      </c>
      <c r="R48" s="76">
        <v>0.26</v>
      </c>
    </row>
    <row r="49" spans="1:18" s="7" customFormat="1" ht="6" customHeight="1" x14ac:dyDescent="0.25">
      <c r="A49" s="105"/>
      <c r="B49" s="33"/>
      <c r="C49" s="47"/>
      <c r="D49" s="47"/>
      <c r="E49" s="62"/>
      <c r="F49" s="63"/>
      <c r="G49" s="63"/>
      <c r="H49" s="63"/>
      <c r="I49" s="64"/>
      <c r="J49" s="63"/>
      <c r="K49" s="63"/>
      <c r="L49" s="63"/>
      <c r="M49" s="64"/>
      <c r="N49" s="63"/>
      <c r="O49" s="63"/>
      <c r="P49" s="64"/>
      <c r="Q49" s="63"/>
      <c r="R49" s="64"/>
    </row>
    <row r="50" spans="1:18" ht="11.25" customHeight="1" x14ac:dyDescent="0.25">
      <c r="A50" s="326" t="s">
        <v>66</v>
      </c>
      <c r="B50" s="34" t="s">
        <v>6</v>
      </c>
      <c r="E50" s="67">
        <v>0.19</v>
      </c>
      <c r="F50" s="68">
        <v>0.17</v>
      </c>
      <c r="G50" s="68">
        <v>0.17</v>
      </c>
      <c r="H50" s="68">
        <v>0.2</v>
      </c>
      <c r="I50" s="67">
        <v>0.18</v>
      </c>
      <c r="J50" s="68">
        <v>0.19</v>
      </c>
      <c r="K50" s="68">
        <v>0.13</v>
      </c>
      <c r="L50" s="68">
        <v>0.13</v>
      </c>
      <c r="M50" s="67">
        <v>0.13</v>
      </c>
      <c r="N50" s="68">
        <v>0.21</v>
      </c>
      <c r="O50" s="68">
        <v>0.11</v>
      </c>
      <c r="P50" s="67">
        <v>0.22</v>
      </c>
      <c r="Q50" s="68">
        <v>0.19</v>
      </c>
      <c r="R50" s="67">
        <v>0.15</v>
      </c>
    </row>
    <row r="51" spans="1:18" ht="11.25" customHeight="1" x14ac:dyDescent="0.25">
      <c r="A51" s="326"/>
      <c r="B51" s="34" t="s">
        <v>35</v>
      </c>
      <c r="C51" s="21">
        <v>7.0000000000000007E-2</v>
      </c>
      <c r="E51" s="67">
        <v>0.02</v>
      </c>
      <c r="F51" s="68">
        <v>0.03</v>
      </c>
      <c r="G51" s="68">
        <v>0.01</v>
      </c>
      <c r="H51" s="68">
        <v>0.02</v>
      </c>
      <c r="I51" s="67">
        <v>0.02</v>
      </c>
      <c r="J51" s="68">
        <v>0.02</v>
      </c>
      <c r="K51" s="68">
        <v>0.02</v>
      </c>
      <c r="L51" s="68">
        <v>0.02</v>
      </c>
      <c r="M51" s="67">
        <v>0.03</v>
      </c>
      <c r="N51" s="68">
        <v>0.01</v>
      </c>
      <c r="O51" s="68">
        <v>0.03</v>
      </c>
      <c r="P51" s="67">
        <v>0.04</v>
      </c>
      <c r="Q51" s="68">
        <v>0.02</v>
      </c>
      <c r="R51" s="67">
        <v>0.02</v>
      </c>
    </row>
    <row r="52" spans="1:18" ht="11.25" customHeight="1" x14ac:dyDescent="0.25">
      <c r="A52" s="326"/>
      <c r="B52" s="34" t="s">
        <v>36</v>
      </c>
      <c r="C52" s="21">
        <v>0.5</v>
      </c>
      <c r="E52" s="67">
        <v>0.21</v>
      </c>
      <c r="F52" s="68">
        <v>0.19</v>
      </c>
      <c r="G52" s="68">
        <v>0.31</v>
      </c>
      <c r="H52" s="68">
        <v>0.21</v>
      </c>
      <c r="I52" s="67">
        <v>0.18</v>
      </c>
      <c r="J52" s="68">
        <v>0.23</v>
      </c>
      <c r="K52" s="68">
        <v>0.24</v>
      </c>
      <c r="L52" s="68">
        <v>0.28000000000000003</v>
      </c>
      <c r="M52" s="67">
        <v>0.26</v>
      </c>
      <c r="N52" s="68">
        <v>0.16</v>
      </c>
      <c r="O52" s="68">
        <v>0.34</v>
      </c>
      <c r="P52" s="67">
        <v>0.33</v>
      </c>
      <c r="Q52" s="68">
        <v>0.17</v>
      </c>
      <c r="R52" s="67">
        <v>0.26</v>
      </c>
    </row>
    <row r="53" spans="1:18" ht="11.25" customHeight="1" x14ac:dyDescent="0.25">
      <c r="A53" s="326"/>
      <c r="B53" s="34" t="s">
        <v>37</v>
      </c>
      <c r="C53" s="21">
        <f>448/1519</f>
        <v>0.29493087557603687</v>
      </c>
      <c r="E53" s="67">
        <v>0.12</v>
      </c>
      <c r="F53" s="68">
        <v>0.11</v>
      </c>
      <c r="G53" s="68">
        <v>0.13</v>
      </c>
      <c r="H53" s="68">
        <v>0.14000000000000001</v>
      </c>
      <c r="I53" s="67">
        <v>0.11</v>
      </c>
      <c r="J53" s="68">
        <v>0.11</v>
      </c>
      <c r="K53" s="68">
        <v>0.16</v>
      </c>
      <c r="L53" s="68">
        <v>7.0000000000000007E-2</v>
      </c>
      <c r="M53" s="67">
        <v>0.14000000000000001</v>
      </c>
      <c r="N53" s="68">
        <v>0.12</v>
      </c>
      <c r="O53" s="68">
        <v>0.14000000000000001</v>
      </c>
      <c r="P53" s="67">
        <v>0.13</v>
      </c>
      <c r="Q53" s="68">
        <v>0.06</v>
      </c>
      <c r="R53" s="67">
        <v>0.18</v>
      </c>
    </row>
    <row r="54" spans="1:18" ht="11.25" customHeight="1" x14ac:dyDescent="0.25">
      <c r="A54" s="326"/>
      <c r="B54" s="34" t="s">
        <v>38</v>
      </c>
      <c r="C54" s="21">
        <v>0.3</v>
      </c>
      <c r="E54" s="67">
        <v>0.14000000000000001</v>
      </c>
      <c r="F54" s="68">
        <v>0.2</v>
      </c>
      <c r="G54" s="68">
        <v>0.16</v>
      </c>
      <c r="H54" s="68">
        <v>0.13</v>
      </c>
      <c r="I54" s="67">
        <v>0.15</v>
      </c>
      <c r="J54" s="68">
        <v>0.16</v>
      </c>
      <c r="K54" s="68">
        <v>0.15</v>
      </c>
      <c r="L54" s="68">
        <v>0.18</v>
      </c>
      <c r="M54" s="67">
        <v>0.19</v>
      </c>
      <c r="N54" s="68">
        <v>0.08</v>
      </c>
      <c r="O54" s="68">
        <v>0.26</v>
      </c>
      <c r="P54" s="67">
        <v>0.3</v>
      </c>
      <c r="Q54" s="68">
        <v>0.15</v>
      </c>
      <c r="R54" s="67">
        <v>0.14000000000000001</v>
      </c>
    </row>
    <row r="55" spans="1:18" ht="11.25" customHeight="1" x14ac:dyDescent="0.25">
      <c r="A55" s="326"/>
      <c r="B55" s="34" t="s">
        <v>39</v>
      </c>
      <c r="C55" s="21">
        <v>0.27</v>
      </c>
      <c r="E55" s="67">
        <v>0.16</v>
      </c>
      <c r="F55" s="68">
        <v>0.03</v>
      </c>
      <c r="G55" s="68">
        <v>0.14000000000000001</v>
      </c>
      <c r="H55" s="68">
        <v>0.24</v>
      </c>
      <c r="I55" s="67">
        <v>0.14000000000000001</v>
      </c>
      <c r="J55" s="68">
        <v>0.17</v>
      </c>
      <c r="K55" s="68">
        <v>0.17</v>
      </c>
      <c r="L55" s="68">
        <v>0.17</v>
      </c>
      <c r="M55" s="67">
        <v>0.18</v>
      </c>
      <c r="N55" s="68">
        <v>0.17</v>
      </c>
      <c r="O55" s="68">
        <v>0.18</v>
      </c>
      <c r="P55" s="67">
        <v>0.1</v>
      </c>
      <c r="Q55" s="68">
        <v>0.06</v>
      </c>
      <c r="R55" s="67">
        <v>0.24</v>
      </c>
    </row>
    <row r="56" spans="1:18" ht="11.25" customHeight="1" x14ac:dyDescent="0.25">
      <c r="A56" s="326"/>
      <c r="B56" s="34" t="s">
        <v>44</v>
      </c>
      <c r="C56" s="21">
        <v>0.27</v>
      </c>
      <c r="E56" s="67">
        <v>0.14000000000000001</v>
      </c>
      <c r="F56" s="14">
        <v>0.11</v>
      </c>
      <c r="G56" s="14">
        <v>0.16</v>
      </c>
      <c r="H56" s="14">
        <v>0.16</v>
      </c>
      <c r="I56" s="16">
        <v>0.13</v>
      </c>
      <c r="J56" s="14">
        <v>0.14000000000000001</v>
      </c>
      <c r="K56" s="14">
        <v>0.17</v>
      </c>
      <c r="L56" s="14">
        <v>0.18</v>
      </c>
      <c r="M56" s="16">
        <v>0.17</v>
      </c>
      <c r="N56" s="14">
        <v>0.13</v>
      </c>
      <c r="O56" s="14">
        <v>0.16</v>
      </c>
      <c r="P56" s="16">
        <v>0.19</v>
      </c>
      <c r="Q56" s="14">
        <v>0.09</v>
      </c>
      <c r="R56" s="16">
        <v>0.18</v>
      </c>
    </row>
    <row r="57" spans="1:18" ht="11.25" customHeight="1" x14ac:dyDescent="0.25">
      <c r="A57" s="326"/>
      <c r="B57" s="34" t="s">
        <v>40</v>
      </c>
      <c r="C57" s="21">
        <v>0.26</v>
      </c>
      <c r="E57" s="67">
        <v>0.11</v>
      </c>
      <c r="F57" s="14">
        <v>0.13</v>
      </c>
      <c r="G57" s="14">
        <v>0.09</v>
      </c>
      <c r="H57" s="14">
        <v>0.14000000000000001</v>
      </c>
      <c r="I57" s="16">
        <v>0.11</v>
      </c>
      <c r="J57" s="14">
        <v>0.14000000000000001</v>
      </c>
      <c r="K57" s="14">
        <v>0.11</v>
      </c>
      <c r="L57" s="14">
        <v>0.12</v>
      </c>
      <c r="M57" s="16">
        <v>0.09</v>
      </c>
      <c r="N57" s="14">
        <v>0.12</v>
      </c>
      <c r="O57" s="14">
        <v>0.12</v>
      </c>
      <c r="P57" s="16">
        <v>0.13</v>
      </c>
      <c r="Q57" s="14">
        <v>0.04</v>
      </c>
      <c r="R57" s="16">
        <v>0.17</v>
      </c>
    </row>
    <row r="58" spans="1:18" ht="11.25" customHeight="1" x14ac:dyDescent="0.25">
      <c r="A58" s="326"/>
      <c r="B58" s="34" t="s">
        <v>41</v>
      </c>
      <c r="C58" s="21">
        <v>0.21</v>
      </c>
      <c r="E58" s="67">
        <v>0.2</v>
      </c>
      <c r="F58" s="14">
        <v>0.36</v>
      </c>
      <c r="G58" s="14">
        <v>0.34</v>
      </c>
      <c r="H58" s="14">
        <v>0.05</v>
      </c>
      <c r="I58" s="16">
        <v>0.2</v>
      </c>
      <c r="J58" s="14">
        <v>0.2</v>
      </c>
      <c r="K58" s="14">
        <v>0.25</v>
      </c>
      <c r="L58" s="14">
        <v>0.28000000000000003</v>
      </c>
      <c r="M58" s="16">
        <f>136/461</f>
        <v>0.29501084598698479</v>
      </c>
      <c r="N58" s="14">
        <v>0.17</v>
      </c>
      <c r="O58" s="14">
        <v>0.26</v>
      </c>
      <c r="P58" s="16">
        <v>0.25</v>
      </c>
      <c r="Q58" s="14">
        <v>0.55000000000000004</v>
      </c>
      <c r="R58" s="100">
        <v>4.0000000000000001E-3</v>
      </c>
    </row>
    <row r="59" spans="1:18" ht="11.25" customHeight="1" x14ac:dyDescent="0.25">
      <c r="A59" s="326"/>
      <c r="B59" s="35" t="s">
        <v>42</v>
      </c>
      <c r="C59" s="50"/>
      <c r="D59" s="50"/>
      <c r="E59" s="67">
        <v>0.04</v>
      </c>
      <c r="F59" s="14">
        <v>0.01</v>
      </c>
      <c r="G59" s="14">
        <v>0.04</v>
      </c>
      <c r="H59" s="14">
        <v>0.05</v>
      </c>
      <c r="I59" s="16">
        <v>0.05</v>
      </c>
      <c r="J59" s="14">
        <v>0.05</v>
      </c>
      <c r="K59" s="14">
        <v>7.0000000000000007E-2</v>
      </c>
      <c r="L59" s="14">
        <v>0.06</v>
      </c>
      <c r="M59" s="16">
        <v>7.0000000000000007E-2</v>
      </c>
      <c r="N59" s="14">
        <v>0.04</v>
      </c>
      <c r="O59" s="14">
        <v>0.06</v>
      </c>
      <c r="P59" s="16">
        <v>0.04</v>
      </c>
      <c r="Q59" s="14">
        <v>0.03</v>
      </c>
      <c r="R59" s="16">
        <v>0.05</v>
      </c>
    </row>
    <row r="60" spans="1:18" ht="11.25" customHeight="1" x14ac:dyDescent="0.25">
      <c r="A60" s="327"/>
      <c r="B60" s="34" t="s">
        <v>43</v>
      </c>
      <c r="C60" s="21">
        <v>0.22</v>
      </c>
      <c r="E60" s="67">
        <v>0.27</v>
      </c>
      <c r="F60" s="68">
        <v>0.22</v>
      </c>
      <c r="G60" s="68">
        <v>0.21</v>
      </c>
      <c r="H60" s="68">
        <v>0.28999999999999998</v>
      </c>
      <c r="I60" s="67">
        <v>0.27</v>
      </c>
      <c r="J60" s="68">
        <v>0.26</v>
      </c>
      <c r="K60" s="68">
        <v>0.23</v>
      </c>
      <c r="L60" s="68">
        <v>0.21</v>
      </c>
      <c r="M60" s="67">
        <v>0.23</v>
      </c>
      <c r="N60" s="68">
        <v>0.25</v>
      </c>
      <c r="O60" s="68">
        <v>0.26</v>
      </c>
      <c r="P60" s="67">
        <v>0.31</v>
      </c>
      <c r="Q60" s="68">
        <v>0.2</v>
      </c>
      <c r="R60" s="67">
        <v>0.26</v>
      </c>
    </row>
    <row r="61" spans="1:18" s="7" customFormat="1" ht="6" customHeight="1" x14ac:dyDescent="0.25">
      <c r="A61" s="105"/>
      <c r="B61" s="33"/>
      <c r="C61" s="47"/>
      <c r="D61" s="47"/>
      <c r="E61" s="62"/>
      <c r="F61" s="63"/>
      <c r="G61" s="63"/>
      <c r="H61" s="63"/>
      <c r="I61" s="64"/>
      <c r="J61" s="63"/>
      <c r="K61" s="63"/>
      <c r="L61" s="63"/>
      <c r="M61" s="64"/>
      <c r="N61" s="63"/>
      <c r="O61" s="63"/>
      <c r="P61" s="64"/>
      <c r="Q61" s="63"/>
      <c r="R61" s="64"/>
    </row>
    <row r="62" spans="1:18" ht="11.25" customHeight="1" x14ac:dyDescent="0.25">
      <c r="A62" s="326" t="s">
        <v>179</v>
      </c>
      <c r="B62" s="36" t="s">
        <v>6</v>
      </c>
      <c r="C62" s="51"/>
      <c r="D62" s="51"/>
      <c r="E62" s="67">
        <v>0.18</v>
      </c>
      <c r="F62" s="68">
        <v>0.16</v>
      </c>
      <c r="G62" s="68">
        <v>0.17</v>
      </c>
      <c r="H62" s="68">
        <v>0.17</v>
      </c>
      <c r="I62" s="67">
        <v>0.16</v>
      </c>
      <c r="J62" s="68">
        <v>0.17</v>
      </c>
      <c r="K62" s="68">
        <v>0.1</v>
      </c>
      <c r="L62" s="68">
        <v>0.12</v>
      </c>
      <c r="M62" s="67">
        <v>0.1</v>
      </c>
      <c r="N62" s="68">
        <v>0.19</v>
      </c>
      <c r="O62" s="68">
        <v>0.11</v>
      </c>
      <c r="P62" s="67">
        <v>0.13</v>
      </c>
      <c r="Q62" s="68">
        <v>0.2</v>
      </c>
      <c r="R62" s="67">
        <v>0.13</v>
      </c>
    </row>
    <row r="63" spans="1:18" ht="11.25" customHeight="1" x14ac:dyDescent="0.25">
      <c r="A63" s="326"/>
      <c r="B63" s="36" t="s">
        <v>45</v>
      </c>
      <c r="C63" s="51"/>
      <c r="D63" s="51"/>
      <c r="E63" s="67">
        <v>0.02</v>
      </c>
      <c r="F63" s="68">
        <v>0.02</v>
      </c>
      <c r="G63" s="68">
        <v>0.03</v>
      </c>
      <c r="H63" s="68">
        <v>0.03</v>
      </c>
      <c r="I63" s="67">
        <v>0.02</v>
      </c>
      <c r="J63" s="68">
        <v>0.03</v>
      </c>
      <c r="K63" s="68">
        <v>0.02</v>
      </c>
      <c r="L63" s="68">
        <v>0.03</v>
      </c>
      <c r="M63" s="67">
        <v>0.03</v>
      </c>
      <c r="N63" s="68">
        <v>0.02</v>
      </c>
      <c r="O63" s="68">
        <v>0.02</v>
      </c>
      <c r="P63" s="67">
        <v>0.09</v>
      </c>
      <c r="Q63" s="68">
        <v>0.02</v>
      </c>
      <c r="R63" s="67">
        <v>0.02</v>
      </c>
    </row>
    <row r="64" spans="1:18" ht="11.25" customHeight="1" x14ac:dyDescent="0.25">
      <c r="A64" s="326"/>
      <c r="B64" s="36" t="s">
        <v>46</v>
      </c>
      <c r="C64" s="51"/>
      <c r="D64" s="51"/>
      <c r="E64" s="19">
        <v>0.06</v>
      </c>
      <c r="F64" s="68">
        <v>0.08</v>
      </c>
      <c r="G64" s="68">
        <v>0.08</v>
      </c>
      <c r="H64" s="68">
        <v>0.06</v>
      </c>
      <c r="I64" s="67">
        <v>0.04</v>
      </c>
      <c r="J64" s="68">
        <v>0.08</v>
      </c>
      <c r="K64" s="68">
        <v>0.04</v>
      </c>
      <c r="L64" s="68">
        <v>7.0000000000000007E-2</v>
      </c>
      <c r="M64" s="67">
        <v>0.05</v>
      </c>
      <c r="N64" s="68">
        <v>0.04</v>
      </c>
      <c r="O64" s="68">
        <v>0.1</v>
      </c>
      <c r="P64" s="67">
        <v>0.15</v>
      </c>
      <c r="Q64" s="68">
        <v>7.0000000000000007E-2</v>
      </c>
      <c r="R64" s="67">
        <v>0.05</v>
      </c>
    </row>
    <row r="65" spans="1:18" ht="11.25" customHeight="1" x14ac:dyDescent="0.25">
      <c r="A65" s="326"/>
      <c r="B65" s="36" t="s">
        <v>47</v>
      </c>
      <c r="C65" s="51">
        <v>0.08</v>
      </c>
      <c r="D65" s="51"/>
      <c r="E65" s="67">
        <v>0.13</v>
      </c>
      <c r="F65" s="68">
        <v>0.13</v>
      </c>
      <c r="G65" s="68">
        <v>0.16</v>
      </c>
      <c r="H65" s="68">
        <v>0.13</v>
      </c>
      <c r="I65" s="67">
        <v>0.11</v>
      </c>
      <c r="J65" s="68">
        <v>0.15</v>
      </c>
      <c r="K65" s="68">
        <v>0.12</v>
      </c>
      <c r="L65" s="68">
        <v>0.15</v>
      </c>
      <c r="M65" s="67">
        <v>0.15</v>
      </c>
      <c r="N65" s="68">
        <v>0.08</v>
      </c>
      <c r="O65" s="68">
        <v>0.19</v>
      </c>
      <c r="P65" s="67">
        <v>0.36</v>
      </c>
      <c r="Q65" s="68">
        <v>0.14000000000000001</v>
      </c>
      <c r="R65" s="67">
        <v>0.12</v>
      </c>
    </row>
    <row r="66" spans="1:18" ht="22.5" customHeight="1" x14ac:dyDescent="0.25">
      <c r="A66" s="326"/>
      <c r="B66" s="36" t="s">
        <v>48</v>
      </c>
      <c r="C66" s="51"/>
      <c r="D66" s="51"/>
      <c r="E66" s="67">
        <v>0.21</v>
      </c>
      <c r="F66" s="68">
        <v>0.27</v>
      </c>
      <c r="G66" s="68">
        <v>0.25</v>
      </c>
      <c r="H66" s="68">
        <v>0.16</v>
      </c>
      <c r="I66" s="67">
        <v>0.2</v>
      </c>
      <c r="J66" s="68">
        <v>0.24</v>
      </c>
      <c r="K66" s="68">
        <v>0.2</v>
      </c>
      <c r="L66" s="68">
        <v>0.24</v>
      </c>
      <c r="M66" s="67">
        <v>0.26</v>
      </c>
      <c r="N66" s="68">
        <v>0.13</v>
      </c>
      <c r="O66" s="68">
        <v>0.33</v>
      </c>
      <c r="P66" s="67">
        <v>0.52</v>
      </c>
      <c r="Q66" s="68">
        <v>0.25</v>
      </c>
      <c r="R66" s="67">
        <v>0.18</v>
      </c>
    </row>
    <row r="67" spans="1:18" ht="22.5" customHeight="1" x14ac:dyDescent="0.25">
      <c r="A67" s="326"/>
      <c r="B67" s="36" t="s">
        <v>49</v>
      </c>
      <c r="C67" s="51"/>
      <c r="D67" s="51"/>
      <c r="E67" s="67">
        <v>0.09</v>
      </c>
      <c r="F67" s="68">
        <v>0.09</v>
      </c>
      <c r="G67" s="68">
        <v>0.09</v>
      </c>
      <c r="H67" s="68">
        <v>0.08</v>
      </c>
      <c r="I67" s="67">
        <v>0.11</v>
      </c>
      <c r="J67" s="68">
        <v>0.08</v>
      </c>
      <c r="K67" s="68">
        <v>0.14000000000000001</v>
      </c>
      <c r="L67" s="68">
        <v>0.11</v>
      </c>
      <c r="M67" s="67">
        <v>0.12</v>
      </c>
      <c r="N67" s="68">
        <v>0.11</v>
      </c>
      <c r="O67" s="68">
        <v>7.0000000000000007E-2</v>
      </c>
      <c r="P67" s="67">
        <v>0.05</v>
      </c>
      <c r="Q67" s="68">
        <v>0.06</v>
      </c>
      <c r="R67" s="67">
        <v>0.12</v>
      </c>
    </row>
    <row r="68" spans="1:18" ht="11.25" customHeight="1" x14ac:dyDescent="0.25">
      <c r="A68" s="326"/>
      <c r="B68" s="36" t="s">
        <v>50</v>
      </c>
      <c r="C68" s="51">
        <v>0.27</v>
      </c>
      <c r="D68" s="51"/>
      <c r="E68" s="67">
        <v>7.0000000000000007E-2</v>
      </c>
      <c r="F68" s="68">
        <v>0.04</v>
      </c>
      <c r="G68" s="68">
        <v>0.06</v>
      </c>
      <c r="H68" s="68">
        <v>7.0000000000000007E-2</v>
      </c>
      <c r="I68" s="67">
        <v>0.08</v>
      </c>
      <c r="J68" s="68">
        <v>7.0000000000000007E-2</v>
      </c>
      <c r="K68" s="68">
        <v>0.06</v>
      </c>
      <c r="L68" s="68">
        <v>0.06</v>
      </c>
      <c r="M68" s="67">
        <v>0.06</v>
      </c>
      <c r="N68" s="68">
        <v>0.06</v>
      </c>
      <c r="O68" s="68">
        <v>7.0000000000000007E-2</v>
      </c>
      <c r="P68" s="67">
        <v>0.13</v>
      </c>
      <c r="Q68" s="68">
        <v>0.04</v>
      </c>
      <c r="R68" s="67">
        <v>7.0000000000000007E-2</v>
      </c>
    </row>
    <row r="69" spans="1:18" ht="11.25" customHeight="1" x14ac:dyDescent="0.25">
      <c r="A69" s="326"/>
      <c r="B69" s="36" t="s">
        <v>51</v>
      </c>
      <c r="C69" s="51">
        <v>0.46</v>
      </c>
      <c r="D69" s="51"/>
      <c r="E69" s="67">
        <v>0.18</v>
      </c>
      <c r="F69" s="68">
        <v>0.23</v>
      </c>
      <c r="G69" s="68">
        <v>0.16</v>
      </c>
      <c r="H69" s="68">
        <v>0.17</v>
      </c>
      <c r="I69" s="67">
        <v>0.21</v>
      </c>
      <c r="J69" s="68">
        <v>0.19</v>
      </c>
      <c r="K69" s="68">
        <v>0.21</v>
      </c>
      <c r="L69" s="68">
        <v>0.24</v>
      </c>
      <c r="M69" s="67">
        <v>0.23</v>
      </c>
      <c r="N69" s="68">
        <v>0.16</v>
      </c>
      <c r="O69" s="68">
        <v>0.23</v>
      </c>
      <c r="P69" s="67">
        <v>0.24</v>
      </c>
      <c r="Q69" s="68">
        <v>0.13</v>
      </c>
      <c r="R69" s="67">
        <v>0.22</v>
      </c>
    </row>
    <row r="70" spans="1:18" ht="11.25" customHeight="1" x14ac:dyDescent="0.25">
      <c r="A70" s="326"/>
      <c r="B70" s="36" t="s">
        <v>52</v>
      </c>
      <c r="C70" s="51"/>
      <c r="D70" s="51"/>
      <c r="E70" s="67">
        <v>0.03</v>
      </c>
      <c r="F70" s="68">
        <v>0.03</v>
      </c>
      <c r="G70" s="68">
        <v>0.05</v>
      </c>
      <c r="H70" s="68">
        <v>0.02</v>
      </c>
      <c r="I70" s="67">
        <v>0.03</v>
      </c>
      <c r="J70" s="68">
        <v>0.04</v>
      </c>
      <c r="K70" s="68">
        <v>0.03</v>
      </c>
      <c r="L70" s="68">
        <v>0.03</v>
      </c>
      <c r="M70" s="67">
        <v>0.04</v>
      </c>
      <c r="N70" s="68">
        <v>0.02</v>
      </c>
      <c r="O70" s="68">
        <v>0.05</v>
      </c>
      <c r="P70" s="67">
        <v>0.06</v>
      </c>
      <c r="Q70" s="68">
        <v>0.04</v>
      </c>
      <c r="R70" s="67">
        <v>0.03</v>
      </c>
    </row>
    <row r="71" spans="1:18" ht="11.25" customHeight="1" x14ac:dyDescent="0.25">
      <c r="A71" s="326"/>
      <c r="B71" s="36" t="s">
        <v>54</v>
      </c>
      <c r="C71" s="51"/>
      <c r="D71" s="51"/>
      <c r="E71" s="67">
        <v>0.19</v>
      </c>
      <c r="F71" s="68">
        <v>0.22</v>
      </c>
      <c r="G71" s="68">
        <v>0.23</v>
      </c>
      <c r="H71" s="68">
        <v>0.18</v>
      </c>
      <c r="I71" s="67">
        <v>0.21</v>
      </c>
      <c r="J71" s="68">
        <v>0.21</v>
      </c>
      <c r="K71" s="68">
        <v>0.22</v>
      </c>
      <c r="L71" s="68">
        <v>0.26</v>
      </c>
      <c r="M71" s="67">
        <v>0.24</v>
      </c>
      <c r="N71" s="68">
        <v>0.14000000000000001</v>
      </c>
      <c r="O71" s="68">
        <v>0.31</v>
      </c>
      <c r="P71" s="67">
        <v>0.43</v>
      </c>
      <c r="Q71" s="68">
        <v>0.21</v>
      </c>
      <c r="R71" s="67">
        <v>0.2</v>
      </c>
    </row>
    <row r="72" spans="1:18" ht="11.25" customHeight="1" x14ac:dyDescent="0.25">
      <c r="A72" s="326"/>
      <c r="B72" s="36" t="s">
        <v>53</v>
      </c>
      <c r="C72" s="51">
        <v>0.31</v>
      </c>
      <c r="D72" s="51"/>
      <c r="E72" s="67">
        <v>0.14000000000000001</v>
      </c>
      <c r="F72" s="68">
        <v>0.18</v>
      </c>
      <c r="G72" s="68">
        <v>0.15</v>
      </c>
      <c r="H72" s="68">
        <v>0.13</v>
      </c>
      <c r="I72" s="67">
        <v>0.16</v>
      </c>
      <c r="J72" s="68">
        <v>0.15</v>
      </c>
      <c r="K72" s="68">
        <v>0.19</v>
      </c>
      <c r="L72" s="68">
        <v>0.19</v>
      </c>
      <c r="M72" s="67">
        <v>0.19</v>
      </c>
      <c r="N72" s="68">
        <v>0.16</v>
      </c>
      <c r="O72" s="68">
        <v>0.15</v>
      </c>
      <c r="P72" s="67">
        <v>0.09</v>
      </c>
      <c r="Q72" s="68">
        <v>0.12</v>
      </c>
      <c r="R72" s="67">
        <v>0.19</v>
      </c>
    </row>
    <row r="73" spans="1:18" ht="11.25" customHeight="1" x14ac:dyDescent="0.25">
      <c r="A73" s="327"/>
      <c r="B73" s="36" t="s">
        <v>43</v>
      </c>
      <c r="C73" s="51">
        <v>0.32</v>
      </c>
      <c r="D73" s="51"/>
      <c r="E73" s="67">
        <v>0.34</v>
      </c>
      <c r="F73" s="68">
        <v>0.28000000000000003</v>
      </c>
      <c r="G73" s="68">
        <v>0.32</v>
      </c>
      <c r="H73" s="68">
        <v>0.39</v>
      </c>
      <c r="I73" s="67">
        <v>0.32</v>
      </c>
      <c r="J73" s="68">
        <v>0.33</v>
      </c>
      <c r="K73" s="68">
        <v>0.33</v>
      </c>
      <c r="L73" s="68">
        <v>0.31</v>
      </c>
      <c r="M73" s="67">
        <v>0.32</v>
      </c>
      <c r="N73" s="68">
        <v>0.37</v>
      </c>
      <c r="O73" s="68">
        <v>0.3</v>
      </c>
      <c r="P73" s="67">
        <v>0.15</v>
      </c>
      <c r="Q73" s="68">
        <v>0.32</v>
      </c>
      <c r="R73" s="67">
        <v>0.36</v>
      </c>
    </row>
    <row r="74" spans="1:18" s="7" customFormat="1" ht="6" customHeight="1" x14ac:dyDescent="0.25">
      <c r="A74" s="105"/>
      <c r="B74" s="33"/>
      <c r="C74" s="47"/>
      <c r="D74" s="47"/>
      <c r="E74" s="62"/>
      <c r="F74" s="63"/>
      <c r="G74" s="63"/>
      <c r="H74" s="63"/>
      <c r="I74" s="64"/>
      <c r="J74" s="63"/>
      <c r="K74" s="63"/>
      <c r="L74" s="63"/>
      <c r="M74" s="64"/>
      <c r="N74" s="63"/>
      <c r="O74" s="63"/>
      <c r="P74" s="64"/>
      <c r="Q74" s="63"/>
      <c r="R74" s="64"/>
    </row>
    <row r="75" spans="1:18" ht="11.25" customHeight="1" x14ac:dyDescent="0.25">
      <c r="A75" s="326" t="s">
        <v>147</v>
      </c>
      <c r="B75" s="34" t="s">
        <v>55</v>
      </c>
      <c r="C75" s="21">
        <v>0.24</v>
      </c>
      <c r="E75" s="67">
        <v>0.02</v>
      </c>
      <c r="F75" s="68">
        <v>0.02</v>
      </c>
      <c r="G75" s="68">
        <v>0.01</v>
      </c>
      <c r="H75" s="68">
        <v>0.02</v>
      </c>
      <c r="I75" s="67">
        <v>0.01</v>
      </c>
      <c r="J75" s="68">
        <v>0.02</v>
      </c>
      <c r="K75" s="68">
        <v>4.0000000000000001E-3</v>
      </c>
      <c r="L75" s="68">
        <v>0</v>
      </c>
      <c r="M75" s="67">
        <v>4.8999999999999998E-3</v>
      </c>
      <c r="N75" s="68">
        <v>0.02</v>
      </c>
      <c r="O75" s="68">
        <v>0.01</v>
      </c>
      <c r="P75" s="67">
        <v>0.04</v>
      </c>
      <c r="Q75" s="68">
        <v>0</v>
      </c>
      <c r="R75" s="67">
        <v>0.02</v>
      </c>
    </row>
    <row r="76" spans="1:18" ht="11.25" customHeight="1" x14ac:dyDescent="0.25">
      <c r="A76" s="326"/>
      <c r="B76" s="34" t="s">
        <v>56</v>
      </c>
      <c r="C76" s="21">
        <v>0.27</v>
      </c>
      <c r="E76" s="67">
        <v>0.08</v>
      </c>
      <c r="F76" s="68">
        <v>0.08</v>
      </c>
      <c r="G76" s="68">
        <v>0.09</v>
      </c>
      <c r="H76" s="68">
        <v>0.05</v>
      </c>
      <c r="I76" s="16">
        <v>0.08</v>
      </c>
      <c r="J76" s="68">
        <v>0.09</v>
      </c>
      <c r="K76" s="68">
        <v>0.05</v>
      </c>
      <c r="L76" s="68">
        <v>0.08</v>
      </c>
      <c r="M76" s="16">
        <v>0.06</v>
      </c>
      <c r="N76" s="14">
        <v>0.04</v>
      </c>
      <c r="O76" s="14">
        <v>0.1</v>
      </c>
      <c r="P76" s="16">
        <v>0.14000000000000001</v>
      </c>
      <c r="Q76" s="14">
        <v>0.12</v>
      </c>
      <c r="R76" s="16">
        <v>0.05</v>
      </c>
    </row>
    <row r="77" spans="1:18" ht="11.25" customHeight="1" x14ac:dyDescent="0.25">
      <c r="A77" s="326"/>
      <c r="B77" s="34" t="s">
        <v>57</v>
      </c>
      <c r="C77" s="21">
        <v>0.37</v>
      </c>
      <c r="E77" s="67">
        <v>0.2</v>
      </c>
      <c r="F77" s="68">
        <v>0.22</v>
      </c>
      <c r="G77" s="68">
        <v>0.3</v>
      </c>
      <c r="H77" s="68">
        <v>0.11</v>
      </c>
      <c r="I77" s="67">
        <v>0.22</v>
      </c>
      <c r="J77" s="68">
        <v>0.18</v>
      </c>
      <c r="K77" s="68">
        <v>0.31</v>
      </c>
      <c r="L77" s="68">
        <v>0.28999999999999998</v>
      </c>
      <c r="M77" s="67">
        <v>0.33</v>
      </c>
      <c r="N77" s="68">
        <v>0.16</v>
      </c>
      <c r="O77" s="68">
        <v>0.26</v>
      </c>
      <c r="P77" s="67">
        <v>0.3</v>
      </c>
      <c r="Q77" s="68">
        <v>0.27</v>
      </c>
      <c r="R77" s="67">
        <v>0.13</v>
      </c>
    </row>
    <row r="78" spans="1:18" ht="11.25" customHeight="1" x14ac:dyDescent="0.25">
      <c r="A78" s="326"/>
      <c r="B78" s="34" t="s">
        <v>58</v>
      </c>
      <c r="C78" s="21">
        <v>0.35</v>
      </c>
      <c r="E78" s="67">
        <v>0.02</v>
      </c>
      <c r="F78" s="68">
        <v>0</v>
      </c>
      <c r="G78" s="68">
        <v>0.02</v>
      </c>
      <c r="H78" s="68">
        <v>0.03</v>
      </c>
      <c r="I78" s="67">
        <v>0.02</v>
      </c>
      <c r="J78" s="68">
        <v>0.02</v>
      </c>
      <c r="K78" s="68">
        <v>0.04</v>
      </c>
      <c r="L78" s="68">
        <v>0.03</v>
      </c>
      <c r="M78" s="67">
        <v>0.05</v>
      </c>
      <c r="N78" s="68">
        <v>0.03</v>
      </c>
      <c r="O78" s="68">
        <v>0.02</v>
      </c>
      <c r="P78" s="67">
        <v>0</v>
      </c>
      <c r="Q78" s="68">
        <v>0.01</v>
      </c>
      <c r="R78" s="67">
        <v>0.02</v>
      </c>
    </row>
    <row r="79" spans="1:18" ht="11.25" customHeight="1" x14ac:dyDescent="0.25">
      <c r="A79" s="326"/>
      <c r="B79" s="34" t="s">
        <v>59</v>
      </c>
      <c r="C79" s="21">
        <v>0.13</v>
      </c>
      <c r="E79" s="67">
        <v>0.04</v>
      </c>
      <c r="F79" s="68">
        <v>0.03</v>
      </c>
      <c r="G79" s="68">
        <v>0.06</v>
      </c>
      <c r="H79" s="14">
        <v>0.03</v>
      </c>
      <c r="I79" s="67">
        <v>0.05</v>
      </c>
      <c r="J79" s="68">
        <v>0.05</v>
      </c>
      <c r="K79" s="68">
        <v>0.05</v>
      </c>
      <c r="L79" s="14">
        <v>7.0000000000000007E-2</v>
      </c>
      <c r="M79" s="67">
        <v>0.05</v>
      </c>
      <c r="N79" s="68">
        <v>0.03</v>
      </c>
      <c r="O79" s="68">
        <v>0.05</v>
      </c>
      <c r="P79" s="67">
        <v>0.06</v>
      </c>
      <c r="Q79" s="68">
        <v>0.04</v>
      </c>
      <c r="R79" s="67">
        <v>0.02</v>
      </c>
    </row>
    <row r="80" spans="1:18" ht="11.25" customHeight="1" x14ac:dyDescent="0.25">
      <c r="A80" s="326"/>
      <c r="B80" s="34" t="s">
        <v>60</v>
      </c>
      <c r="E80" s="16">
        <v>0.04</v>
      </c>
      <c r="F80" s="14">
        <v>0.03</v>
      </c>
      <c r="G80" s="14">
        <v>0.04</v>
      </c>
      <c r="H80" s="14">
        <v>0.05</v>
      </c>
      <c r="I80" s="16">
        <v>0.03</v>
      </c>
      <c r="J80" s="14">
        <v>0.04</v>
      </c>
      <c r="K80" s="14">
        <v>0.04</v>
      </c>
      <c r="L80" s="14">
        <v>0.03</v>
      </c>
      <c r="M80" s="16">
        <v>0.02</v>
      </c>
      <c r="N80" s="14">
        <v>0.05</v>
      </c>
      <c r="O80" s="14">
        <v>0.02</v>
      </c>
      <c r="P80" s="16">
        <v>0.04</v>
      </c>
      <c r="Q80" s="14">
        <v>0.04</v>
      </c>
      <c r="R80" s="16">
        <v>0.04</v>
      </c>
    </row>
    <row r="81" spans="1:18" ht="11.25" customHeight="1" x14ac:dyDescent="0.25">
      <c r="A81" s="326"/>
      <c r="B81" s="34" t="s">
        <v>61</v>
      </c>
      <c r="C81" s="21">
        <v>0.48</v>
      </c>
      <c r="E81" s="16">
        <v>0.81</v>
      </c>
      <c r="F81" s="68">
        <v>0.85</v>
      </c>
      <c r="G81" s="68">
        <v>0.78</v>
      </c>
      <c r="H81" s="14">
        <v>0.82</v>
      </c>
      <c r="I81" s="67">
        <v>0.83</v>
      </c>
      <c r="J81" s="68">
        <v>0.81</v>
      </c>
      <c r="K81" s="68">
        <v>0.79</v>
      </c>
      <c r="L81" s="14">
        <v>0.82</v>
      </c>
      <c r="M81" s="67">
        <v>0.79</v>
      </c>
      <c r="N81" s="68">
        <v>0.82</v>
      </c>
      <c r="O81" s="68">
        <v>0.81</v>
      </c>
      <c r="P81" s="67">
        <v>0.8</v>
      </c>
      <c r="Q81" s="68">
        <v>0.83</v>
      </c>
      <c r="R81" s="67">
        <v>0.86</v>
      </c>
    </row>
    <row r="82" spans="1:18" ht="11.25" customHeight="1" x14ac:dyDescent="0.25">
      <c r="A82" s="326"/>
      <c r="B82" s="34" t="s">
        <v>62</v>
      </c>
      <c r="C82" s="21">
        <v>0.31</v>
      </c>
      <c r="E82" s="67">
        <v>0.15</v>
      </c>
      <c r="F82" s="68">
        <v>0.03</v>
      </c>
      <c r="G82" s="68">
        <v>0.13</v>
      </c>
      <c r="H82" s="68">
        <v>0.16</v>
      </c>
      <c r="I82" s="67">
        <v>0.18</v>
      </c>
      <c r="J82" s="68">
        <v>0.14000000000000001</v>
      </c>
      <c r="K82" s="68">
        <v>0.16</v>
      </c>
      <c r="L82" s="68">
        <v>0.15</v>
      </c>
      <c r="M82" s="67">
        <v>0.19</v>
      </c>
      <c r="N82" s="68">
        <v>0.13</v>
      </c>
      <c r="O82" s="68">
        <v>0.14000000000000001</v>
      </c>
      <c r="P82" s="67">
        <v>0.26</v>
      </c>
      <c r="Q82" s="68">
        <v>0.12</v>
      </c>
      <c r="R82" s="67">
        <v>0.13</v>
      </c>
    </row>
    <row r="83" spans="1:18" ht="11.25" customHeight="1" x14ac:dyDescent="0.25">
      <c r="A83" s="326"/>
      <c r="B83" s="34" t="s">
        <v>63</v>
      </c>
      <c r="C83" s="21">
        <v>0.21</v>
      </c>
      <c r="E83" s="67">
        <v>0.18</v>
      </c>
      <c r="F83" s="68">
        <v>0.17</v>
      </c>
      <c r="G83" s="68">
        <v>0.17</v>
      </c>
      <c r="H83" s="68">
        <v>0.22</v>
      </c>
      <c r="I83" s="67">
        <v>0.16</v>
      </c>
      <c r="J83" s="68">
        <v>0.17</v>
      </c>
      <c r="K83" s="68">
        <v>0.22</v>
      </c>
      <c r="L83" s="68">
        <v>0.22</v>
      </c>
      <c r="M83" s="67">
        <v>0.25</v>
      </c>
      <c r="N83" s="68">
        <v>0.13</v>
      </c>
      <c r="O83" s="68">
        <v>0.22</v>
      </c>
      <c r="P83" s="67">
        <v>0.32</v>
      </c>
      <c r="Q83" s="68">
        <v>0.17</v>
      </c>
      <c r="R83" s="67">
        <v>0.18</v>
      </c>
    </row>
    <row r="84" spans="1:18" ht="11.25" customHeight="1" x14ac:dyDescent="0.25">
      <c r="A84" s="327"/>
      <c r="B84" s="34" t="s">
        <v>64</v>
      </c>
      <c r="C84" s="21">
        <v>0.16</v>
      </c>
      <c r="E84" s="67">
        <v>0.04</v>
      </c>
      <c r="F84" s="68">
        <v>7.0000000000000007E-2</v>
      </c>
      <c r="G84" s="68">
        <v>0.03</v>
      </c>
      <c r="H84" s="68">
        <v>0.03</v>
      </c>
      <c r="I84" s="67">
        <v>0.05</v>
      </c>
      <c r="J84" s="68">
        <v>0.04</v>
      </c>
      <c r="K84" s="68">
        <v>0.04</v>
      </c>
      <c r="L84" s="68">
        <v>0.06</v>
      </c>
      <c r="M84" s="67">
        <v>0.06</v>
      </c>
      <c r="N84" s="68">
        <v>0.05</v>
      </c>
      <c r="O84" s="68">
        <v>0.03</v>
      </c>
      <c r="P84" s="67">
        <v>0.06</v>
      </c>
      <c r="Q84" s="68">
        <v>0.05</v>
      </c>
      <c r="R84" s="67">
        <v>0.03</v>
      </c>
    </row>
    <row r="85" spans="1:18" s="7" customFormat="1" ht="6" customHeight="1" x14ac:dyDescent="0.25">
      <c r="A85" s="105"/>
      <c r="B85" s="33"/>
      <c r="C85" s="47"/>
      <c r="D85" s="47"/>
      <c r="E85" s="62"/>
      <c r="F85" s="78"/>
      <c r="G85" s="78"/>
      <c r="H85" s="78"/>
      <c r="I85" s="62"/>
      <c r="J85" s="78"/>
      <c r="K85" s="78"/>
      <c r="L85" s="78"/>
      <c r="M85" s="62"/>
      <c r="N85" s="78"/>
      <c r="O85" s="78"/>
      <c r="P85" s="62"/>
      <c r="Q85" s="78"/>
      <c r="R85" s="62"/>
    </row>
    <row r="86" spans="1:18" ht="11.25" customHeight="1" x14ac:dyDescent="0.25">
      <c r="A86" s="328" t="s">
        <v>146</v>
      </c>
      <c r="B86" s="37" t="s">
        <v>67</v>
      </c>
      <c r="C86" s="49">
        <v>0.62</v>
      </c>
      <c r="D86" s="49"/>
      <c r="E86" s="81">
        <v>0.05</v>
      </c>
      <c r="F86" s="79">
        <v>0.08</v>
      </c>
      <c r="G86" s="79">
        <f>21/247</f>
        <v>8.5020242914979755E-2</v>
      </c>
      <c r="H86" s="79">
        <v>0.04</v>
      </c>
      <c r="I86" s="80">
        <v>0.02</v>
      </c>
      <c r="J86" s="79">
        <v>7.0000000000000007E-2</v>
      </c>
      <c r="K86" s="79">
        <v>0.03</v>
      </c>
      <c r="L86" s="79">
        <v>0.03</v>
      </c>
      <c r="M86" s="80">
        <v>0.04</v>
      </c>
      <c r="N86" s="79">
        <v>0.05</v>
      </c>
      <c r="O86" s="79">
        <v>0.04</v>
      </c>
      <c r="P86" s="80">
        <v>7.0000000000000007E-2</v>
      </c>
      <c r="Q86" s="79">
        <v>0.09</v>
      </c>
      <c r="R86" s="80">
        <v>0.03</v>
      </c>
    </row>
    <row r="87" spans="1:18" ht="11.25" customHeight="1" x14ac:dyDescent="0.25">
      <c r="A87" s="328"/>
      <c r="B87" s="37" t="s">
        <v>68</v>
      </c>
      <c r="C87" s="49">
        <v>0.65</v>
      </c>
      <c r="D87" s="49"/>
      <c r="E87" s="81">
        <v>0.35</v>
      </c>
      <c r="F87" s="79">
        <v>0.48</v>
      </c>
      <c r="G87" s="79">
        <v>0.43</v>
      </c>
      <c r="H87" s="79">
        <v>0.33</v>
      </c>
      <c r="I87" s="80">
        <v>0.3</v>
      </c>
      <c r="J87" s="79">
        <v>0.43</v>
      </c>
      <c r="K87" s="79">
        <v>0.24</v>
      </c>
      <c r="L87" s="79">
        <v>0.26</v>
      </c>
      <c r="M87" s="80">
        <v>0.27</v>
      </c>
      <c r="N87" s="79">
        <v>0.3</v>
      </c>
      <c r="O87" s="79">
        <v>0.49</v>
      </c>
      <c r="P87" s="80">
        <v>0.44</v>
      </c>
      <c r="Q87" s="79">
        <v>0.35</v>
      </c>
      <c r="R87" s="80">
        <v>0.34</v>
      </c>
    </row>
    <row r="88" spans="1:18" ht="11.25" customHeight="1" x14ac:dyDescent="0.25">
      <c r="A88" s="328"/>
      <c r="B88" s="37" t="s">
        <v>69</v>
      </c>
      <c r="C88" s="49">
        <v>0.65</v>
      </c>
      <c r="D88" s="49"/>
      <c r="E88" s="81">
        <v>0.12</v>
      </c>
      <c r="F88" s="79">
        <v>0.1</v>
      </c>
      <c r="G88" s="79">
        <v>0.21</v>
      </c>
      <c r="H88" s="79">
        <v>0.08</v>
      </c>
      <c r="I88" s="80">
        <v>0.1</v>
      </c>
      <c r="J88" s="79">
        <v>0.13</v>
      </c>
      <c r="K88" s="79">
        <v>0.14000000000000001</v>
      </c>
      <c r="L88" s="79">
        <v>0.14000000000000001</v>
      </c>
      <c r="M88" s="80">
        <v>0.14000000000000001</v>
      </c>
      <c r="N88" s="79">
        <v>0.11</v>
      </c>
      <c r="O88" s="79">
        <v>0.15</v>
      </c>
      <c r="P88" s="80">
        <v>0.22</v>
      </c>
      <c r="Q88" s="79">
        <v>0.2</v>
      </c>
      <c r="R88" s="80">
        <v>0.1</v>
      </c>
    </row>
    <row r="89" spans="1:18" ht="11.25" customHeight="1" x14ac:dyDescent="0.25">
      <c r="A89" s="328"/>
      <c r="B89" s="24" t="s">
        <v>70</v>
      </c>
      <c r="C89" s="52">
        <v>0.69</v>
      </c>
      <c r="D89" s="52"/>
      <c r="E89" s="81">
        <v>0.23</v>
      </c>
      <c r="F89" s="79">
        <v>0.17</v>
      </c>
      <c r="G89" s="79">
        <v>0.33</v>
      </c>
      <c r="H89" s="79">
        <v>0.24</v>
      </c>
      <c r="I89" s="80">
        <v>0.15</v>
      </c>
      <c r="J89" s="79">
        <v>0.23</v>
      </c>
      <c r="K89" s="79">
        <v>0.27</v>
      </c>
      <c r="L89" s="79">
        <v>0.25</v>
      </c>
      <c r="M89" s="80">
        <v>0.25</v>
      </c>
      <c r="N89" s="79">
        <v>0.19</v>
      </c>
      <c r="O89" s="79">
        <v>0.28999999999999998</v>
      </c>
      <c r="P89" s="80">
        <v>0.36</v>
      </c>
      <c r="Q89" s="79">
        <v>0.17</v>
      </c>
      <c r="R89" s="80">
        <v>0.25</v>
      </c>
    </row>
    <row r="90" spans="1:18" ht="11.25" customHeight="1" x14ac:dyDescent="0.25">
      <c r="A90" s="328"/>
      <c r="B90" s="37" t="s">
        <v>71</v>
      </c>
      <c r="C90" s="49">
        <v>0.56000000000000005</v>
      </c>
      <c r="D90" s="49"/>
      <c r="E90" s="81">
        <v>0.09</v>
      </c>
      <c r="F90" s="79">
        <v>0.14000000000000001</v>
      </c>
      <c r="G90" s="79">
        <v>0.06</v>
      </c>
      <c r="H90" s="79">
        <v>0.08</v>
      </c>
      <c r="I90" s="80">
        <v>0.09</v>
      </c>
      <c r="J90" s="79">
        <v>0.1</v>
      </c>
      <c r="K90" s="79">
        <v>0.05</v>
      </c>
      <c r="L90" s="79">
        <v>0.1</v>
      </c>
      <c r="M90" s="80">
        <v>0.08</v>
      </c>
      <c r="N90" s="79">
        <v>7.0000000000000007E-2</v>
      </c>
      <c r="O90" s="79">
        <v>0.11</v>
      </c>
      <c r="P90" s="80">
        <v>0.18</v>
      </c>
      <c r="Q90" s="79">
        <v>0.08</v>
      </c>
      <c r="R90" s="80">
        <v>0.09</v>
      </c>
    </row>
    <row r="91" spans="1:18" ht="11.25" customHeight="1" x14ac:dyDescent="0.25">
      <c r="A91" s="328"/>
      <c r="B91" s="37" t="s">
        <v>72</v>
      </c>
      <c r="C91" s="49">
        <v>0.65</v>
      </c>
      <c r="D91" s="49"/>
      <c r="E91" s="81">
        <v>0.28999999999999998</v>
      </c>
      <c r="F91" s="79">
        <v>0.26</v>
      </c>
      <c r="G91" s="79">
        <v>0.34</v>
      </c>
      <c r="H91" s="79">
        <v>0.28999999999999998</v>
      </c>
      <c r="I91" s="80">
        <v>0.28000000000000003</v>
      </c>
      <c r="J91" s="79">
        <v>0.18</v>
      </c>
      <c r="K91" s="79">
        <v>0.57999999999999996</v>
      </c>
      <c r="L91" s="79">
        <v>0.48</v>
      </c>
      <c r="M91" s="80">
        <v>0.48</v>
      </c>
      <c r="N91" s="79">
        <v>0.26</v>
      </c>
      <c r="O91" s="79">
        <v>0.35</v>
      </c>
      <c r="P91" s="80">
        <v>0.47</v>
      </c>
      <c r="Q91" s="79">
        <v>0.25</v>
      </c>
      <c r="R91" s="80">
        <v>0.32</v>
      </c>
    </row>
    <row r="92" spans="1:18" ht="11.25" customHeight="1" x14ac:dyDescent="0.25">
      <c r="A92" s="328"/>
      <c r="B92" s="24" t="s">
        <v>73</v>
      </c>
      <c r="C92" s="52">
        <v>0.57999999999999996</v>
      </c>
      <c r="D92" s="52"/>
      <c r="E92" s="81">
        <v>0.05</v>
      </c>
      <c r="F92" s="79">
        <v>0.06</v>
      </c>
      <c r="G92" s="79">
        <v>0.06</v>
      </c>
      <c r="H92" s="79">
        <v>0.06</v>
      </c>
      <c r="I92" s="80">
        <v>0.03</v>
      </c>
      <c r="J92" s="79">
        <v>0.08</v>
      </c>
      <c r="K92" s="79">
        <v>0.01</v>
      </c>
      <c r="L92" s="79">
        <v>0.02</v>
      </c>
      <c r="M92" s="80">
        <v>0.02</v>
      </c>
      <c r="N92" s="79">
        <v>0.05</v>
      </c>
      <c r="O92" s="79">
        <v>0.05</v>
      </c>
      <c r="P92" s="80">
        <v>0.09</v>
      </c>
      <c r="Q92" s="79">
        <v>7.0000000000000007E-2</v>
      </c>
      <c r="R92" s="80">
        <v>0.05</v>
      </c>
    </row>
    <row r="93" spans="1:18" ht="11.25" customHeight="1" x14ac:dyDescent="0.25">
      <c r="A93" s="328"/>
      <c r="B93" s="24" t="s">
        <v>74</v>
      </c>
      <c r="C93" s="52">
        <v>0.62</v>
      </c>
      <c r="D93" s="52"/>
      <c r="E93" s="81">
        <v>7.0000000000000007E-2</v>
      </c>
      <c r="F93" s="79">
        <v>0.08</v>
      </c>
      <c r="G93" s="79">
        <v>0.04</v>
      </c>
      <c r="H93" s="79">
        <v>0.09</v>
      </c>
      <c r="I93" s="80">
        <v>7.0000000000000007E-2</v>
      </c>
      <c r="J93" s="79">
        <v>0.09</v>
      </c>
      <c r="K93" s="79">
        <v>0.02</v>
      </c>
      <c r="L93" s="79">
        <v>0.03</v>
      </c>
      <c r="M93" s="80">
        <v>0.04</v>
      </c>
      <c r="N93" s="79">
        <v>0.08</v>
      </c>
      <c r="O93" s="79">
        <v>0.03</v>
      </c>
      <c r="P93" s="80">
        <v>7.0000000000000007E-2</v>
      </c>
      <c r="Q93" s="79">
        <v>0.05</v>
      </c>
      <c r="R93" s="80">
        <v>7.0000000000000007E-2</v>
      </c>
    </row>
    <row r="94" spans="1:18" ht="11.25" customHeight="1" x14ac:dyDescent="0.25">
      <c r="A94" s="328"/>
      <c r="B94" s="24" t="s">
        <v>75</v>
      </c>
      <c r="C94" s="52">
        <v>0.64</v>
      </c>
      <c r="D94" s="52"/>
      <c r="E94" s="81">
        <v>0.1</v>
      </c>
      <c r="F94" s="79">
        <v>0.06</v>
      </c>
      <c r="G94" s="79">
        <v>0.15</v>
      </c>
      <c r="H94" s="79">
        <v>0.08</v>
      </c>
      <c r="I94" s="80">
        <v>0.08</v>
      </c>
      <c r="J94" s="79">
        <v>0.12</v>
      </c>
      <c r="K94" s="79">
        <v>7.0000000000000007E-2</v>
      </c>
      <c r="L94" s="79">
        <v>0.09</v>
      </c>
      <c r="M94" s="80">
        <v>0.1</v>
      </c>
      <c r="N94" s="79">
        <v>0.09</v>
      </c>
      <c r="O94" s="79">
        <v>0.1</v>
      </c>
      <c r="P94" s="80">
        <v>0.13</v>
      </c>
      <c r="Q94" s="79">
        <v>0.11</v>
      </c>
      <c r="R94" s="80">
        <v>0.1</v>
      </c>
    </row>
    <row r="95" spans="1:18" ht="11.25" customHeight="1" x14ac:dyDescent="0.25">
      <c r="A95" s="328"/>
      <c r="B95" s="24" t="s">
        <v>76</v>
      </c>
      <c r="C95" s="52">
        <v>0.57999999999999996</v>
      </c>
      <c r="D95" s="52"/>
      <c r="E95" s="81">
        <v>0.43</v>
      </c>
      <c r="F95" s="79">
        <v>0.56000000000000005</v>
      </c>
      <c r="G95" s="79">
        <v>0.45</v>
      </c>
      <c r="H95" s="79">
        <v>0.44</v>
      </c>
      <c r="I95" s="80">
        <v>0.37</v>
      </c>
      <c r="J95" s="79">
        <v>0.41</v>
      </c>
      <c r="K95" s="79">
        <v>0.5</v>
      </c>
      <c r="L95" s="79">
        <v>0.46</v>
      </c>
      <c r="M95" s="80">
        <v>0.04</v>
      </c>
      <c r="N95" s="79">
        <v>0.43</v>
      </c>
      <c r="O95" s="79">
        <v>0.44</v>
      </c>
      <c r="P95" s="80">
        <v>0.33</v>
      </c>
      <c r="Q95" s="79">
        <v>0.37</v>
      </c>
      <c r="R95" s="80">
        <v>0.45</v>
      </c>
    </row>
    <row r="96" spans="1:18" ht="11.25" customHeight="1" x14ac:dyDescent="0.25">
      <c r="A96" s="328"/>
      <c r="B96" s="24" t="s">
        <v>77</v>
      </c>
      <c r="C96" s="52">
        <v>0.56999999999999995</v>
      </c>
      <c r="D96" s="52"/>
      <c r="E96" s="81">
        <v>0.12</v>
      </c>
      <c r="F96" s="79">
        <v>0.08</v>
      </c>
      <c r="G96" s="79">
        <v>0.09</v>
      </c>
      <c r="H96" s="79">
        <v>0.15</v>
      </c>
      <c r="I96" s="80">
        <v>0.12</v>
      </c>
      <c r="J96" s="79">
        <v>0.08</v>
      </c>
      <c r="K96" s="79">
        <v>0.19</v>
      </c>
      <c r="L96" s="79">
        <v>0.16</v>
      </c>
      <c r="M96" s="80">
        <v>0.17</v>
      </c>
      <c r="N96" s="79">
        <v>0.1</v>
      </c>
      <c r="O96" s="79">
        <v>0.13</v>
      </c>
      <c r="P96" s="80">
        <v>0.2</v>
      </c>
      <c r="Q96" s="79">
        <v>7.0000000000000007E-2</v>
      </c>
      <c r="R96" s="80">
        <v>0.13</v>
      </c>
    </row>
    <row r="97" spans="1:18" ht="11.25" customHeight="1" x14ac:dyDescent="0.25">
      <c r="A97" s="328"/>
      <c r="B97" s="24" t="s">
        <v>78</v>
      </c>
      <c r="C97" s="52">
        <v>0.56999999999999995</v>
      </c>
      <c r="D97" s="52"/>
      <c r="E97" s="81">
        <v>0.02</v>
      </c>
      <c r="F97" s="79">
        <v>0.01</v>
      </c>
      <c r="G97" s="79">
        <v>0.04</v>
      </c>
      <c r="H97" s="79">
        <v>0.02</v>
      </c>
      <c r="I97" s="80">
        <v>0.01</v>
      </c>
      <c r="J97" s="79">
        <v>0.02</v>
      </c>
      <c r="K97" s="79">
        <v>0.01</v>
      </c>
      <c r="L97" s="79">
        <v>0.03</v>
      </c>
      <c r="M97" s="80">
        <v>0.02</v>
      </c>
      <c r="N97" s="79">
        <v>0.01</v>
      </c>
      <c r="O97" s="79">
        <v>0.03</v>
      </c>
      <c r="P97" s="80">
        <v>0.09</v>
      </c>
      <c r="Q97" s="79">
        <v>0.01</v>
      </c>
      <c r="R97" s="80">
        <v>0.02</v>
      </c>
    </row>
    <row r="98" spans="1:18" ht="11.25" customHeight="1" x14ac:dyDescent="0.25">
      <c r="A98" s="328"/>
      <c r="B98" s="24" t="s">
        <v>79</v>
      </c>
      <c r="C98" s="52">
        <v>0.49</v>
      </c>
      <c r="D98" s="52"/>
      <c r="E98" s="81">
        <v>0.05</v>
      </c>
      <c r="F98" s="79">
        <v>0.02</v>
      </c>
      <c r="G98" s="79">
        <v>0.04</v>
      </c>
      <c r="H98" s="79">
        <v>0.06</v>
      </c>
      <c r="I98" s="80">
        <v>0.04</v>
      </c>
      <c r="J98" s="79">
        <v>0.06</v>
      </c>
      <c r="K98" s="79">
        <v>0.02</v>
      </c>
      <c r="L98" s="79">
        <v>0.02</v>
      </c>
      <c r="M98" s="80">
        <v>0.02</v>
      </c>
      <c r="N98" s="79">
        <v>0.05</v>
      </c>
      <c r="O98" s="79">
        <v>0.03</v>
      </c>
      <c r="P98" s="80">
        <v>7.0000000000000007E-2</v>
      </c>
      <c r="Q98" s="79">
        <v>0.04</v>
      </c>
      <c r="R98" s="80">
        <v>0.04</v>
      </c>
    </row>
    <row r="99" spans="1:18" ht="11.25" customHeight="1" x14ac:dyDescent="0.25">
      <c r="A99" s="328"/>
      <c r="B99" s="24" t="s">
        <v>80</v>
      </c>
      <c r="C99" s="52">
        <v>0.6</v>
      </c>
      <c r="D99" s="52"/>
      <c r="E99" s="81">
        <v>0.06</v>
      </c>
      <c r="F99" s="79">
        <v>0.02</v>
      </c>
      <c r="G99" s="79">
        <v>0.04</v>
      </c>
      <c r="H99" s="79">
        <v>7.0000000000000007E-2</v>
      </c>
      <c r="I99" s="80">
        <v>7.0000000000000007E-2</v>
      </c>
      <c r="J99" s="79">
        <v>0.06</v>
      </c>
      <c r="K99" s="79">
        <v>0.04</v>
      </c>
      <c r="L99" s="79">
        <v>0.08</v>
      </c>
      <c r="M99" s="80">
        <v>7.0000000000000007E-2</v>
      </c>
      <c r="N99" s="79">
        <v>0.04</v>
      </c>
      <c r="O99" s="79">
        <v>7.0000000000000007E-2</v>
      </c>
      <c r="P99" s="80">
        <v>0.18</v>
      </c>
      <c r="Q99" s="79">
        <v>0.06</v>
      </c>
      <c r="R99" s="80">
        <v>0.06</v>
      </c>
    </row>
    <row r="100" spans="1:18" ht="11.25" customHeight="1" x14ac:dyDescent="0.25">
      <c r="A100" s="328"/>
      <c r="B100" s="24" t="s">
        <v>81</v>
      </c>
      <c r="C100" s="52">
        <v>0.68</v>
      </c>
      <c r="D100" s="52"/>
      <c r="E100" s="81">
        <v>0.06</v>
      </c>
      <c r="F100" s="79">
        <v>0.03</v>
      </c>
      <c r="G100" s="79">
        <v>0.09</v>
      </c>
      <c r="H100" s="79">
        <v>0.09</v>
      </c>
      <c r="I100" s="80">
        <v>0.09</v>
      </c>
      <c r="J100" s="79">
        <v>0.05</v>
      </c>
      <c r="K100" s="79">
        <v>0.13</v>
      </c>
      <c r="L100" s="79">
        <v>0.21</v>
      </c>
      <c r="M100" s="80">
        <v>0.14000000000000001</v>
      </c>
      <c r="N100" s="79">
        <v>0.08</v>
      </c>
      <c r="O100" s="79">
        <v>0.11</v>
      </c>
      <c r="P100" s="80">
        <v>0.09</v>
      </c>
      <c r="Q100" s="79">
        <v>0.05</v>
      </c>
      <c r="R100" s="80">
        <v>0.12</v>
      </c>
    </row>
    <row r="101" spans="1:18" ht="11.25" customHeight="1" x14ac:dyDescent="0.25">
      <c r="A101" s="328"/>
      <c r="B101" s="24" t="s">
        <v>82</v>
      </c>
      <c r="C101" s="52">
        <v>0.64</v>
      </c>
      <c r="D101" s="52"/>
      <c r="E101" s="81">
        <v>0.09</v>
      </c>
      <c r="F101" s="79">
        <v>0.02</v>
      </c>
      <c r="G101" s="79">
        <v>0.04</v>
      </c>
      <c r="H101" s="79">
        <v>0.09</v>
      </c>
      <c r="I101" s="80">
        <v>0.06</v>
      </c>
      <c r="J101" s="79">
        <v>0.08</v>
      </c>
      <c r="K101" s="79">
        <v>0.02</v>
      </c>
      <c r="L101" s="79">
        <v>0.04</v>
      </c>
      <c r="M101" s="80">
        <v>0.04</v>
      </c>
      <c r="N101" s="79">
        <v>0.06</v>
      </c>
      <c r="O101" s="79">
        <v>7.0000000000000007E-2</v>
      </c>
      <c r="P101" s="80">
        <v>0.09</v>
      </c>
      <c r="Q101" s="79">
        <v>0.04</v>
      </c>
      <c r="R101" s="80">
        <v>7.0000000000000007E-2</v>
      </c>
    </row>
    <row r="102" spans="1:18" ht="11.25" customHeight="1" x14ac:dyDescent="0.25">
      <c r="A102" s="328"/>
      <c r="B102" s="24" t="s">
        <v>83</v>
      </c>
      <c r="C102" s="52">
        <v>0.56999999999999995</v>
      </c>
      <c r="D102" s="52"/>
      <c r="E102" s="81">
        <v>0.03</v>
      </c>
      <c r="F102" s="79">
        <v>0.01</v>
      </c>
      <c r="G102" s="79">
        <v>0.03</v>
      </c>
      <c r="H102" s="79">
        <v>0.03</v>
      </c>
      <c r="I102" s="80">
        <v>0.04</v>
      </c>
      <c r="J102" s="79">
        <v>0.04</v>
      </c>
      <c r="K102" s="79">
        <v>0.01</v>
      </c>
      <c r="L102" s="79">
        <v>0.02</v>
      </c>
      <c r="M102" s="80">
        <v>0.01</v>
      </c>
      <c r="N102" s="79">
        <v>0.04</v>
      </c>
      <c r="O102" s="79">
        <v>0.02</v>
      </c>
      <c r="P102" s="80">
        <v>7.0000000000000007E-2</v>
      </c>
      <c r="Q102" s="79">
        <v>0.02</v>
      </c>
      <c r="R102" s="80">
        <v>0.04</v>
      </c>
    </row>
    <row r="103" spans="1:18" ht="11.25" customHeight="1" x14ac:dyDescent="0.25">
      <c r="A103" s="328"/>
      <c r="B103" s="24" t="s">
        <v>84</v>
      </c>
      <c r="C103" s="52">
        <v>0.63</v>
      </c>
      <c r="D103" s="52"/>
      <c r="E103" s="81">
        <v>0.05</v>
      </c>
      <c r="F103" s="79">
        <v>0.01</v>
      </c>
      <c r="G103" s="79">
        <v>0.05</v>
      </c>
      <c r="H103" s="79">
        <v>7.0000000000000007E-2</v>
      </c>
      <c r="I103" s="80">
        <v>0.06</v>
      </c>
      <c r="J103" s="79">
        <v>7.0000000000000007E-2</v>
      </c>
      <c r="K103" s="79">
        <v>0.01</v>
      </c>
      <c r="L103" s="79">
        <v>0.02</v>
      </c>
      <c r="M103" s="80">
        <v>0.03</v>
      </c>
      <c r="N103" s="79">
        <v>0.05</v>
      </c>
      <c r="O103" s="79">
        <v>0.05</v>
      </c>
      <c r="P103" s="80">
        <v>0.04</v>
      </c>
      <c r="Q103" s="79">
        <v>0.05</v>
      </c>
      <c r="R103" s="80">
        <v>0.06</v>
      </c>
    </row>
    <row r="104" spans="1:18" ht="11.25" customHeight="1" x14ac:dyDescent="0.25">
      <c r="A104" s="328"/>
      <c r="B104" s="37" t="s">
        <v>85</v>
      </c>
      <c r="C104" s="49">
        <v>0.5</v>
      </c>
      <c r="D104" s="49"/>
      <c r="E104" s="81">
        <v>0.04</v>
      </c>
      <c r="F104" s="79">
        <v>0.06</v>
      </c>
      <c r="G104" s="79">
        <v>0.03</v>
      </c>
      <c r="H104" s="79">
        <v>0.06</v>
      </c>
      <c r="I104" s="80">
        <v>0.02</v>
      </c>
      <c r="J104" s="79">
        <v>0.02</v>
      </c>
      <c r="K104" s="79">
        <v>0.09</v>
      </c>
      <c r="L104" s="79">
        <v>0.06</v>
      </c>
      <c r="M104" s="80">
        <v>0.06</v>
      </c>
      <c r="N104" s="79">
        <v>0.03</v>
      </c>
      <c r="O104" s="79">
        <v>0.06</v>
      </c>
      <c r="P104" s="80">
        <v>0.02</v>
      </c>
      <c r="Q104" s="79">
        <v>0.03</v>
      </c>
      <c r="R104" s="80">
        <v>0.05</v>
      </c>
    </row>
    <row r="105" spans="1:18" ht="11.25" customHeight="1" x14ac:dyDescent="0.25">
      <c r="A105" s="329"/>
      <c r="B105" s="37" t="s">
        <v>86</v>
      </c>
      <c r="C105" s="49">
        <v>0.59</v>
      </c>
      <c r="D105" s="49"/>
      <c r="E105" s="82">
        <v>0.25</v>
      </c>
      <c r="F105" s="79">
        <v>0.3</v>
      </c>
      <c r="G105" s="79">
        <v>0.23</v>
      </c>
      <c r="H105" s="79">
        <v>0.23</v>
      </c>
      <c r="I105" s="80">
        <v>0.26</v>
      </c>
      <c r="J105" s="79">
        <v>0.15</v>
      </c>
      <c r="K105" s="79">
        <v>0.45</v>
      </c>
      <c r="L105" s="79">
        <v>0.35</v>
      </c>
      <c r="M105" s="83">
        <v>0.36</v>
      </c>
      <c r="N105" s="102">
        <v>0.24</v>
      </c>
      <c r="O105" s="102">
        <v>0.26</v>
      </c>
      <c r="P105" s="83">
        <v>0.22</v>
      </c>
      <c r="Q105" s="102">
        <v>0.15</v>
      </c>
      <c r="R105" s="83">
        <v>0.28000000000000003</v>
      </c>
    </row>
    <row r="106" spans="1:18" ht="5.25" customHeight="1" x14ac:dyDescent="0.25">
      <c r="A106" s="103"/>
      <c r="B106" s="33"/>
      <c r="C106" s="47"/>
      <c r="D106" s="47"/>
      <c r="E106" s="84"/>
      <c r="F106" s="63"/>
      <c r="G106" s="63"/>
      <c r="H106" s="63"/>
      <c r="I106" s="64"/>
      <c r="J106" s="63"/>
      <c r="K106" s="63"/>
      <c r="L106" s="63"/>
      <c r="M106" s="64"/>
      <c r="N106" s="63"/>
      <c r="O106" s="63"/>
      <c r="P106" s="64"/>
      <c r="Q106" s="63"/>
      <c r="R106" s="64"/>
    </row>
    <row r="107" spans="1:18" ht="11.25" customHeight="1" x14ac:dyDescent="0.25">
      <c r="A107" s="317" t="s">
        <v>168</v>
      </c>
      <c r="B107" s="34" t="s">
        <v>87</v>
      </c>
      <c r="C107" s="21">
        <v>0.66</v>
      </c>
      <c r="E107" s="85">
        <v>0.38</v>
      </c>
      <c r="F107" s="68">
        <v>0.28000000000000003</v>
      </c>
      <c r="G107" s="68">
        <v>0.38</v>
      </c>
      <c r="H107" s="68">
        <v>0.4</v>
      </c>
      <c r="I107" s="67">
        <v>0.42</v>
      </c>
      <c r="J107" s="68">
        <v>0.37</v>
      </c>
      <c r="K107" s="68">
        <v>0.46</v>
      </c>
      <c r="L107" s="68">
        <v>0.42</v>
      </c>
      <c r="M107" s="67">
        <v>0.42</v>
      </c>
      <c r="N107" s="68">
        <v>0.4</v>
      </c>
      <c r="O107" s="68">
        <v>0.38</v>
      </c>
      <c r="P107" s="67">
        <v>0.32</v>
      </c>
      <c r="Q107" s="68">
        <v>0.28000000000000003</v>
      </c>
      <c r="R107" s="67">
        <v>0.49</v>
      </c>
    </row>
    <row r="108" spans="1:18" ht="11.25" customHeight="1" x14ac:dyDescent="0.25">
      <c r="A108" s="317"/>
      <c r="B108" s="34" t="s">
        <v>88</v>
      </c>
      <c r="C108" s="21">
        <v>0.28999999999999998</v>
      </c>
      <c r="E108" s="85">
        <v>0.17</v>
      </c>
      <c r="F108" s="68">
        <v>0.13</v>
      </c>
      <c r="G108" s="68">
        <v>0.19</v>
      </c>
      <c r="H108" s="68">
        <v>0.18</v>
      </c>
      <c r="I108" s="67">
        <v>0.16</v>
      </c>
      <c r="J108" s="68">
        <v>0.17</v>
      </c>
      <c r="K108" s="68">
        <v>0.21</v>
      </c>
      <c r="L108" s="68">
        <v>0.21</v>
      </c>
      <c r="M108" s="67">
        <v>0.2</v>
      </c>
      <c r="N108" s="68">
        <v>0.18</v>
      </c>
      <c r="O108" s="68">
        <v>0.17</v>
      </c>
      <c r="P108" s="67">
        <v>0.12</v>
      </c>
      <c r="Q108" s="68">
        <v>0.13</v>
      </c>
      <c r="R108" s="67">
        <v>0.21</v>
      </c>
    </row>
    <row r="109" spans="1:18" ht="22.5" customHeight="1" x14ac:dyDescent="0.25">
      <c r="A109" s="317"/>
      <c r="B109" s="36" t="s">
        <v>166</v>
      </c>
      <c r="C109" s="51">
        <v>0.25</v>
      </c>
      <c r="D109" s="51"/>
      <c r="E109" s="85">
        <v>0.08</v>
      </c>
      <c r="F109" s="68">
        <v>0.06</v>
      </c>
      <c r="G109" s="68">
        <v>0.08</v>
      </c>
      <c r="H109" s="68">
        <v>7.0000000000000007E-2</v>
      </c>
      <c r="I109" s="67">
        <v>0.09</v>
      </c>
      <c r="J109" s="68">
        <v>7.0000000000000007E-2</v>
      </c>
      <c r="K109" s="68">
        <v>0.1</v>
      </c>
      <c r="L109" s="68">
        <v>0.09</v>
      </c>
      <c r="M109" s="67">
        <v>0.1</v>
      </c>
      <c r="N109" s="68">
        <v>0.08</v>
      </c>
      <c r="O109" s="68">
        <v>0.08</v>
      </c>
      <c r="P109" s="67">
        <v>0.08</v>
      </c>
      <c r="Q109" s="68">
        <v>0.04</v>
      </c>
      <c r="R109" s="67">
        <v>0.1</v>
      </c>
    </row>
    <row r="110" spans="1:18" ht="11.25" customHeight="1" x14ac:dyDescent="0.25">
      <c r="A110" s="317"/>
      <c r="B110" s="34" t="s">
        <v>89</v>
      </c>
      <c r="E110" s="85">
        <v>0.03</v>
      </c>
      <c r="F110" s="68">
        <v>0.04</v>
      </c>
      <c r="G110" s="68">
        <v>0.05</v>
      </c>
      <c r="H110" s="68">
        <v>0.02</v>
      </c>
      <c r="I110" s="67">
        <v>0.02</v>
      </c>
      <c r="J110" s="68">
        <v>0.04</v>
      </c>
      <c r="K110" s="68">
        <v>0.02</v>
      </c>
      <c r="L110" s="68">
        <v>0.04</v>
      </c>
      <c r="M110" s="67">
        <v>0.03</v>
      </c>
      <c r="N110" s="68">
        <v>0.02</v>
      </c>
      <c r="O110" s="68">
        <v>0.05</v>
      </c>
      <c r="P110" s="67">
        <v>0.04</v>
      </c>
      <c r="Q110" s="68">
        <v>0.04</v>
      </c>
      <c r="R110" s="67">
        <v>0.02</v>
      </c>
    </row>
    <row r="111" spans="1:18" ht="22.5" customHeight="1" x14ac:dyDescent="0.25">
      <c r="A111" s="317"/>
      <c r="B111" s="36" t="s">
        <v>167</v>
      </c>
      <c r="C111" s="51"/>
      <c r="D111" s="51"/>
      <c r="E111" s="85">
        <v>0.02</v>
      </c>
      <c r="F111" s="68">
        <v>0.01</v>
      </c>
      <c r="G111" s="68">
        <v>0.02</v>
      </c>
      <c r="H111" s="68">
        <v>0.02</v>
      </c>
      <c r="I111" s="67">
        <v>0.01</v>
      </c>
      <c r="J111" s="68">
        <v>0.02</v>
      </c>
      <c r="K111" s="68">
        <v>0.02</v>
      </c>
      <c r="L111" s="68">
        <v>0.02</v>
      </c>
      <c r="M111" s="67">
        <v>0.02</v>
      </c>
      <c r="N111" s="68">
        <v>0.02</v>
      </c>
      <c r="O111" s="68">
        <v>0.01</v>
      </c>
      <c r="P111" s="67">
        <v>0.02</v>
      </c>
      <c r="Q111" s="68">
        <v>0.02</v>
      </c>
      <c r="R111" s="67">
        <v>0.01</v>
      </c>
    </row>
    <row r="112" spans="1:18" ht="11.25" customHeight="1" x14ac:dyDescent="0.25">
      <c r="A112" s="318"/>
      <c r="B112" s="34" t="s">
        <v>43</v>
      </c>
      <c r="C112" s="21">
        <v>0.18</v>
      </c>
      <c r="E112" s="85">
        <v>0.52</v>
      </c>
      <c r="F112" s="68">
        <v>0.61</v>
      </c>
      <c r="G112" s="68">
        <v>0.47</v>
      </c>
      <c r="H112" s="68">
        <f>247/499</f>
        <v>0.49498997995991983</v>
      </c>
      <c r="I112" s="67">
        <v>0.52</v>
      </c>
      <c r="J112" s="68">
        <v>0.51</v>
      </c>
      <c r="K112" s="68">
        <v>0.45</v>
      </c>
      <c r="L112" s="68">
        <v>0.47</v>
      </c>
      <c r="M112" s="67">
        <v>0.47</v>
      </c>
      <c r="N112" s="68">
        <v>0.5</v>
      </c>
      <c r="O112" s="68">
        <v>0.52</v>
      </c>
      <c r="P112" s="67">
        <v>0.57999999999999996</v>
      </c>
      <c r="Q112" s="68">
        <v>0.61</v>
      </c>
      <c r="R112" s="67">
        <v>0.42</v>
      </c>
    </row>
    <row r="113" spans="1:18" ht="5.25" customHeight="1" x14ac:dyDescent="0.25">
      <c r="A113" s="103"/>
      <c r="B113" s="33"/>
      <c r="C113" s="47"/>
      <c r="D113" s="47"/>
      <c r="E113" s="84"/>
      <c r="F113" s="63"/>
      <c r="G113" s="63"/>
      <c r="H113" s="63"/>
      <c r="I113" s="64"/>
      <c r="J113" s="63"/>
      <c r="K113" s="63"/>
      <c r="L113" s="63"/>
      <c r="M113" s="64"/>
      <c r="N113" s="63"/>
      <c r="O113" s="63"/>
      <c r="P113" s="64"/>
      <c r="Q113" s="63"/>
      <c r="R113" s="64"/>
    </row>
    <row r="114" spans="1:18" ht="11.25" customHeight="1" x14ac:dyDescent="0.25">
      <c r="A114" s="317" t="s">
        <v>90</v>
      </c>
      <c r="B114" s="34" t="s">
        <v>91</v>
      </c>
      <c r="E114" s="85">
        <v>0.06</v>
      </c>
      <c r="F114" s="87">
        <v>0.04</v>
      </c>
      <c r="G114" s="87">
        <v>0.1</v>
      </c>
      <c r="H114" s="87">
        <v>7.0000000000000007E-2</v>
      </c>
      <c r="I114" s="95">
        <v>0.04</v>
      </c>
      <c r="J114" s="68">
        <v>0.08</v>
      </c>
      <c r="K114" s="68">
        <v>0.04</v>
      </c>
      <c r="L114" s="68">
        <v>7.0000000000000007E-2</v>
      </c>
      <c r="M114" s="67">
        <v>0.06</v>
      </c>
      <c r="N114" s="68">
        <v>0.04</v>
      </c>
      <c r="O114" s="68">
        <v>0.11</v>
      </c>
      <c r="P114" s="67">
        <v>0.14000000000000001</v>
      </c>
      <c r="Q114" s="68">
        <v>0.08</v>
      </c>
      <c r="R114" s="67">
        <v>0.06</v>
      </c>
    </row>
    <row r="115" spans="1:18" ht="11.25" customHeight="1" x14ac:dyDescent="0.25">
      <c r="A115" s="317"/>
      <c r="B115" s="34" t="s">
        <v>92</v>
      </c>
      <c r="E115" s="85">
        <v>0.09</v>
      </c>
      <c r="F115" s="87">
        <v>0.1</v>
      </c>
      <c r="G115" s="87">
        <v>0.1</v>
      </c>
      <c r="H115" s="87">
        <v>0.09</v>
      </c>
      <c r="I115" s="95">
        <v>0.1</v>
      </c>
      <c r="J115" s="68">
        <v>0.1</v>
      </c>
      <c r="K115" s="68">
        <v>0.09</v>
      </c>
      <c r="L115" s="68">
        <v>0.1</v>
      </c>
      <c r="M115" s="67">
        <v>0.09</v>
      </c>
      <c r="N115" s="68">
        <v>0.11</v>
      </c>
      <c r="O115" s="68">
        <v>0.08</v>
      </c>
      <c r="P115" s="67">
        <v>0.04</v>
      </c>
      <c r="Q115" s="68">
        <v>0.1</v>
      </c>
      <c r="R115" s="67">
        <v>0.1</v>
      </c>
    </row>
    <row r="116" spans="1:18" ht="11.25" customHeight="1" x14ac:dyDescent="0.25">
      <c r="A116" s="317"/>
      <c r="B116" s="34" t="s">
        <v>93</v>
      </c>
      <c r="E116" s="85">
        <v>7.0000000000000007E-2</v>
      </c>
      <c r="F116" s="87">
        <v>0.09</v>
      </c>
      <c r="G116" s="87">
        <v>7.0000000000000007E-2</v>
      </c>
      <c r="H116" s="87">
        <v>0.06</v>
      </c>
      <c r="I116" s="95">
        <v>7.0000000000000007E-2</v>
      </c>
      <c r="J116" s="68">
        <v>7.0000000000000007E-2</v>
      </c>
      <c r="K116" s="68">
        <v>7.0000000000000007E-2</v>
      </c>
      <c r="L116" s="68">
        <v>0.08</v>
      </c>
      <c r="M116" s="67">
        <v>0.08</v>
      </c>
      <c r="N116" s="68">
        <v>0.05</v>
      </c>
      <c r="O116" s="68">
        <v>0.1</v>
      </c>
      <c r="P116" s="67">
        <v>0.1</v>
      </c>
      <c r="Q116" s="68">
        <v>0.09</v>
      </c>
      <c r="R116" s="67">
        <v>0.06</v>
      </c>
    </row>
    <row r="117" spans="1:18" ht="11.25" customHeight="1" x14ac:dyDescent="0.25">
      <c r="A117" s="317"/>
      <c r="B117" s="34" t="s">
        <v>94</v>
      </c>
      <c r="E117" s="85">
        <v>0.1</v>
      </c>
      <c r="F117" s="87">
        <v>0.09</v>
      </c>
      <c r="G117" s="87">
        <v>0.11</v>
      </c>
      <c r="H117" s="87">
        <v>0.1</v>
      </c>
      <c r="I117" s="95">
        <v>0.1</v>
      </c>
      <c r="J117" s="68">
        <f>121/1052</f>
        <v>0.1150190114068441</v>
      </c>
      <c r="K117" s="68">
        <v>0.09</v>
      </c>
      <c r="L117" s="68">
        <v>0.12</v>
      </c>
      <c r="M117" s="67">
        <v>0.11</v>
      </c>
      <c r="N117" s="68">
        <v>0.09</v>
      </c>
      <c r="O117" s="68">
        <v>0.14000000000000001</v>
      </c>
      <c r="P117" s="67">
        <v>0.08</v>
      </c>
      <c r="Q117" s="68">
        <v>0.11</v>
      </c>
      <c r="R117" s="67">
        <v>0.09</v>
      </c>
    </row>
    <row r="118" spans="1:18" ht="11.25" customHeight="1" x14ac:dyDescent="0.25">
      <c r="A118" s="317"/>
      <c r="B118" s="34" t="s">
        <v>95</v>
      </c>
      <c r="E118" s="85">
        <v>0.13</v>
      </c>
      <c r="F118" s="87">
        <v>0.13</v>
      </c>
      <c r="G118" s="87">
        <v>0.16</v>
      </c>
      <c r="H118" s="87">
        <v>0.12</v>
      </c>
      <c r="I118" s="95">
        <v>0.14000000000000001</v>
      </c>
      <c r="J118" s="68">
        <v>0.15</v>
      </c>
      <c r="K118" s="68">
        <v>0.13</v>
      </c>
      <c r="L118" s="68">
        <v>0.16</v>
      </c>
      <c r="M118" s="67">
        <v>0.15</v>
      </c>
      <c r="N118" s="68">
        <v>0.14000000000000001</v>
      </c>
      <c r="O118" s="68">
        <v>0.14000000000000001</v>
      </c>
      <c r="P118" s="67">
        <v>0.12</v>
      </c>
      <c r="Q118" s="68">
        <v>0.15</v>
      </c>
      <c r="R118" s="67">
        <v>0.13</v>
      </c>
    </row>
    <row r="119" spans="1:18" ht="11.25" customHeight="1" x14ac:dyDescent="0.25">
      <c r="A119" s="317"/>
      <c r="B119" s="34" t="s">
        <v>96</v>
      </c>
      <c r="E119" s="85">
        <v>0.16</v>
      </c>
      <c r="F119" s="87">
        <v>0.22</v>
      </c>
      <c r="G119" s="87">
        <v>0.17</v>
      </c>
      <c r="H119" s="87">
        <v>0.14000000000000001</v>
      </c>
      <c r="I119" s="95">
        <v>0.17</v>
      </c>
      <c r="J119" s="68">
        <v>0.18</v>
      </c>
      <c r="K119" s="68">
        <v>0.13</v>
      </c>
      <c r="L119" s="68">
        <v>0.18</v>
      </c>
      <c r="M119" s="67">
        <v>0.16</v>
      </c>
      <c r="N119" s="68">
        <v>0.16</v>
      </c>
      <c r="O119" s="68">
        <v>0.19</v>
      </c>
      <c r="P119" s="67">
        <v>0.18</v>
      </c>
      <c r="Q119" s="68">
        <v>0.18</v>
      </c>
      <c r="R119" s="67">
        <v>0.16</v>
      </c>
    </row>
    <row r="120" spans="1:18" ht="11.25" customHeight="1" x14ac:dyDescent="0.25">
      <c r="A120" s="317"/>
      <c r="B120" s="34" t="s">
        <v>97</v>
      </c>
      <c r="E120" s="85">
        <v>0.13</v>
      </c>
      <c r="F120" s="87">
        <v>0.11</v>
      </c>
      <c r="G120" s="87">
        <v>0.17</v>
      </c>
      <c r="H120" s="87">
        <v>0.12</v>
      </c>
      <c r="I120" s="95">
        <v>0.12</v>
      </c>
      <c r="J120" s="68">
        <v>0.14000000000000001</v>
      </c>
      <c r="K120" s="68">
        <v>0.12</v>
      </c>
      <c r="L120" s="68">
        <v>0.17</v>
      </c>
      <c r="M120" s="67">
        <v>0.16</v>
      </c>
      <c r="N120" s="68">
        <v>0.1</v>
      </c>
      <c r="O120" s="68">
        <v>0.18</v>
      </c>
      <c r="P120" s="67">
        <v>0.19</v>
      </c>
      <c r="Q120" s="68">
        <v>0.15</v>
      </c>
      <c r="R120" s="67">
        <v>0.12</v>
      </c>
    </row>
    <row r="121" spans="1:18" ht="11.25" customHeight="1" x14ac:dyDescent="0.25">
      <c r="A121" s="317"/>
      <c r="B121" s="34" t="s">
        <v>98</v>
      </c>
      <c r="E121" s="85">
        <v>0.02</v>
      </c>
      <c r="F121" s="87">
        <v>0.01</v>
      </c>
      <c r="G121" s="87">
        <v>0.04</v>
      </c>
      <c r="H121" s="87">
        <v>0.02</v>
      </c>
      <c r="I121" s="95">
        <v>0.01</v>
      </c>
      <c r="J121" s="68">
        <v>0.02</v>
      </c>
      <c r="K121" s="68">
        <v>0.01</v>
      </c>
      <c r="L121" s="68">
        <v>0.02</v>
      </c>
      <c r="M121" s="67">
        <v>0.02</v>
      </c>
      <c r="N121" s="68">
        <v>0.01</v>
      </c>
      <c r="O121" s="68">
        <v>0.04</v>
      </c>
      <c r="P121" s="67">
        <v>7.0000000000000007E-2</v>
      </c>
      <c r="Q121" s="68">
        <v>0.02</v>
      </c>
      <c r="R121" s="67">
        <v>0.02</v>
      </c>
    </row>
    <row r="122" spans="1:18" ht="11.25" customHeight="1" x14ac:dyDescent="0.25">
      <c r="A122" s="317"/>
      <c r="B122" s="34" t="s">
        <v>99</v>
      </c>
      <c r="E122" s="85">
        <v>0.1</v>
      </c>
      <c r="F122" s="87">
        <v>0.13</v>
      </c>
      <c r="G122" s="87">
        <v>0.09</v>
      </c>
      <c r="H122" s="87">
        <v>0.12</v>
      </c>
      <c r="I122" s="95">
        <v>0.08</v>
      </c>
      <c r="J122" s="68">
        <v>0.1</v>
      </c>
      <c r="K122" s="68">
        <v>0.12</v>
      </c>
      <c r="L122" s="68">
        <v>0.12</v>
      </c>
      <c r="M122" s="67">
        <v>0.12</v>
      </c>
      <c r="N122" s="68">
        <v>7.0000000000000007E-2</v>
      </c>
      <c r="O122" s="68">
        <v>0.15</v>
      </c>
      <c r="P122" s="67">
        <v>0.16</v>
      </c>
      <c r="Q122" s="68">
        <v>0.1</v>
      </c>
      <c r="R122" s="67">
        <v>0.1</v>
      </c>
    </row>
    <row r="123" spans="1:18" ht="11.25" customHeight="1" x14ac:dyDescent="0.25">
      <c r="A123" s="317"/>
      <c r="B123" s="34" t="s">
        <v>100</v>
      </c>
      <c r="E123" s="85">
        <v>0.06</v>
      </c>
      <c r="F123" s="87">
        <v>0.03</v>
      </c>
      <c r="G123" s="87">
        <v>0.08</v>
      </c>
      <c r="H123" s="87">
        <v>0.05</v>
      </c>
      <c r="I123" s="95">
        <v>0.06</v>
      </c>
      <c r="J123" s="68">
        <v>7.0000000000000007E-2</v>
      </c>
      <c r="K123" s="68">
        <v>0.04</v>
      </c>
      <c r="L123" s="68">
        <v>0.06</v>
      </c>
      <c r="M123" s="67">
        <v>0.05</v>
      </c>
      <c r="N123" s="68">
        <v>0.03</v>
      </c>
      <c r="O123" s="68">
        <v>0.09</v>
      </c>
      <c r="P123" s="67">
        <v>0.2</v>
      </c>
      <c r="Q123" s="68">
        <v>0.06</v>
      </c>
      <c r="R123" s="67">
        <v>0.05</v>
      </c>
    </row>
    <row r="124" spans="1:18" ht="11.25" customHeight="1" x14ac:dyDescent="0.25">
      <c r="A124" s="317"/>
      <c r="B124" s="34" t="s">
        <v>101</v>
      </c>
      <c r="E124" s="85">
        <v>0.1</v>
      </c>
      <c r="F124" s="87">
        <v>7.0000000000000007E-2</v>
      </c>
      <c r="G124" s="87">
        <v>0.13</v>
      </c>
      <c r="H124" s="87">
        <v>0.11</v>
      </c>
      <c r="I124" s="95">
        <v>0.09</v>
      </c>
      <c r="J124" s="68">
        <v>0.11</v>
      </c>
      <c r="K124" s="68">
        <v>0.1</v>
      </c>
      <c r="L124" s="68">
        <v>0.15</v>
      </c>
      <c r="M124" s="67">
        <v>0.12</v>
      </c>
      <c r="N124" s="68">
        <f>84/988</f>
        <v>8.5020242914979755E-2</v>
      </c>
      <c r="O124" s="68">
        <v>0.14000000000000001</v>
      </c>
      <c r="P124" s="67">
        <v>0.14000000000000001</v>
      </c>
      <c r="Q124" s="68">
        <v>0.1</v>
      </c>
      <c r="R124" s="67">
        <v>0.11</v>
      </c>
    </row>
    <row r="125" spans="1:18" ht="11.25" customHeight="1" x14ac:dyDescent="0.25">
      <c r="A125" s="318"/>
      <c r="B125" s="34" t="s">
        <v>43</v>
      </c>
      <c r="E125" s="85">
        <v>0.6</v>
      </c>
      <c r="F125" s="87">
        <v>0.63</v>
      </c>
      <c r="G125" s="87">
        <v>0.56000000000000005</v>
      </c>
      <c r="H125" s="87">
        <v>0.63</v>
      </c>
      <c r="I125" s="95">
        <v>0.6</v>
      </c>
      <c r="J125" s="68">
        <v>0.56999999999999995</v>
      </c>
      <c r="K125" s="68">
        <v>0.62</v>
      </c>
      <c r="L125" s="68">
        <v>0.55000000000000004</v>
      </c>
      <c r="M125" s="67">
        <v>0.56999999999999995</v>
      </c>
      <c r="N125" s="68">
        <v>0.64</v>
      </c>
      <c r="O125" s="68">
        <v>0.54</v>
      </c>
      <c r="P125" s="67">
        <v>0.47</v>
      </c>
      <c r="Q125" s="68">
        <v>0.56999999999999995</v>
      </c>
      <c r="R125" s="67">
        <v>0.61</v>
      </c>
    </row>
    <row r="126" spans="1:18" ht="5.25" customHeight="1" x14ac:dyDescent="0.25">
      <c r="A126" s="103"/>
      <c r="B126" s="33"/>
      <c r="C126" s="47"/>
      <c r="D126" s="47"/>
      <c r="E126" s="84"/>
      <c r="F126" s="88"/>
      <c r="G126" s="88"/>
      <c r="H126" s="88"/>
      <c r="I126" s="96"/>
      <c r="J126" s="78"/>
      <c r="K126" s="78"/>
      <c r="L126" s="78"/>
      <c r="M126" s="62"/>
      <c r="N126" s="78"/>
      <c r="O126" s="78"/>
      <c r="P126" s="62"/>
      <c r="Q126" s="78"/>
      <c r="R126" s="62"/>
    </row>
    <row r="127" spans="1:18" ht="11.25" customHeight="1" x14ac:dyDescent="0.25">
      <c r="A127" s="317" t="s">
        <v>148</v>
      </c>
      <c r="B127" s="34" t="s">
        <v>102</v>
      </c>
      <c r="C127" s="21">
        <v>0.19</v>
      </c>
      <c r="E127" s="85">
        <v>0.12</v>
      </c>
      <c r="F127" s="87">
        <v>0.12</v>
      </c>
      <c r="G127" s="87">
        <v>0.12</v>
      </c>
      <c r="H127" s="87">
        <v>0.12</v>
      </c>
      <c r="I127" s="95">
        <v>0.1</v>
      </c>
      <c r="J127" s="68">
        <v>0.08</v>
      </c>
      <c r="K127" s="68">
        <v>0.17</v>
      </c>
      <c r="L127" s="68">
        <v>0.11</v>
      </c>
      <c r="M127" s="67">
        <v>0.11</v>
      </c>
      <c r="N127" s="68">
        <v>0.12</v>
      </c>
      <c r="O127" s="68">
        <v>0.1</v>
      </c>
      <c r="P127" s="67">
        <v>0.1</v>
      </c>
      <c r="Q127" s="68">
        <v>0.1</v>
      </c>
      <c r="R127" s="67">
        <v>0.1</v>
      </c>
    </row>
    <row r="128" spans="1:18" ht="11.25" customHeight="1" x14ac:dyDescent="0.25">
      <c r="A128" s="317"/>
      <c r="B128" s="34" t="s">
        <v>105</v>
      </c>
      <c r="C128" s="21">
        <v>0.28999999999999998</v>
      </c>
      <c r="E128" s="85">
        <v>0.22</v>
      </c>
      <c r="F128" s="87">
        <v>0.24</v>
      </c>
      <c r="G128" s="87">
        <v>0.17</v>
      </c>
      <c r="H128" s="87">
        <v>0.22</v>
      </c>
      <c r="I128" s="95">
        <v>0.26</v>
      </c>
      <c r="J128" s="68">
        <v>0.25</v>
      </c>
      <c r="K128" s="68">
        <v>0.16</v>
      </c>
      <c r="L128" s="68">
        <v>0.24</v>
      </c>
      <c r="M128" s="67">
        <v>0.2</v>
      </c>
      <c r="N128" s="68">
        <v>0.23</v>
      </c>
      <c r="O128" s="68">
        <v>0.21</v>
      </c>
      <c r="P128" s="67">
        <v>0.21</v>
      </c>
      <c r="Q128" s="68">
        <v>0.2</v>
      </c>
      <c r="R128" s="67">
        <v>0.25</v>
      </c>
    </row>
    <row r="129" spans="1:18" ht="11.25" customHeight="1" x14ac:dyDescent="0.25">
      <c r="A129" s="317"/>
      <c r="B129" s="34" t="s">
        <v>103</v>
      </c>
      <c r="C129" s="21">
        <v>0.44</v>
      </c>
      <c r="E129" s="85">
        <v>0.44</v>
      </c>
      <c r="F129" s="87">
        <v>0.45</v>
      </c>
      <c r="G129" s="87">
        <v>0.41</v>
      </c>
      <c r="H129" s="87">
        <v>0.43</v>
      </c>
      <c r="I129" s="95">
        <v>0.49</v>
      </c>
      <c r="J129" s="68">
        <v>0.49</v>
      </c>
      <c r="K129" s="68">
        <v>0.37</v>
      </c>
      <c r="L129" s="68">
        <v>0.44</v>
      </c>
      <c r="M129" s="67">
        <v>0.45</v>
      </c>
      <c r="N129" s="68">
        <v>0.44</v>
      </c>
      <c r="O129" s="68">
        <v>0.48</v>
      </c>
      <c r="P129" s="67">
        <v>0.41</v>
      </c>
      <c r="Q129" s="68">
        <v>0.43</v>
      </c>
      <c r="R129" s="67">
        <v>0.46</v>
      </c>
    </row>
    <row r="130" spans="1:18" ht="11.25" customHeight="1" x14ac:dyDescent="0.25">
      <c r="A130" s="317"/>
      <c r="B130" s="34" t="s">
        <v>104</v>
      </c>
      <c r="C130" s="21">
        <v>0.44</v>
      </c>
      <c r="E130" s="85">
        <v>0.18</v>
      </c>
      <c r="F130" s="87">
        <v>0.18</v>
      </c>
      <c r="G130" s="87">
        <v>0.16</v>
      </c>
      <c r="H130" s="87">
        <v>0.16</v>
      </c>
      <c r="I130" s="95">
        <v>0.21</v>
      </c>
      <c r="J130" s="68">
        <v>0.2</v>
      </c>
      <c r="K130" s="68">
        <v>0.18</v>
      </c>
      <c r="L130" s="68">
        <v>0.21</v>
      </c>
      <c r="M130" s="67">
        <v>0.2</v>
      </c>
      <c r="N130" s="68">
        <v>0.18</v>
      </c>
      <c r="O130" s="68">
        <v>0.19</v>
      </c>
      <c r="P130" s="67">
        <v>0.18</v>
      </c>
      <c r="Q130" s="68">
        <v>0.18</v>
      </c>
      <c r="R130" s="67">
        <v>0.18</v>
      </c>
    </row>
    <row r="131" spans="1:18" ht="11.25" customHeight="1" x14ac:dyDescent="0.25">
      <c r="A131" s="317"/>
      <c r="B131" s="34" t="s">
        <v>106</v>
      </c>
      <c r="C131" s="21">
        <v>0.43</v>
      </c>
      <c r="E131" s="85">
        <v>0.32</v>
      </c>
      <c r="F131" s="87">
        <v>0.39</v>
      </c>
      <c r="G131" s="87">
        <v>0.32</v>
      </c>
      <c r="H131" s="87">
        <v>0.27</v>
      </c>
      <c r="I131" s="95">
        <v>0.37</v>
      </c>
      <c r="J131" s="68">
        <v>0.35</v>
      </c>
      <c r="K131" s="68">
        <v>0.35</v>
      </c>
      <c r="L131" s="68">
        <v>0.38</v>
      </c>
      <c r="M131" s="67">
        <v>0.38</v>
      </c>
      <c r="N131" s="68">
        <v>0.33</v>
      </c>
      <c r="O131" s="68">
        <v>0.35</v>
      </c>
      <c r="P131" s="67">
        <v>0.28000000000000003</v>
      </c>
      <c r="Q131" s="68">
        <v>0.36</v>
      </c>
      <c r="R131" s="67">
        <v>0.35</v>
      </c>
    </row>
    <row r="132" spans="1:18" ht="11.25" customHeight="1" x14ac:dyDescent="0.25">
      <c r="A132" s="317"/>
      <c r="B132" s="34" t="s">
        <v>107</v>
      </c>
      <c r="C132" s="21">
        <v>0.03</v>
      </c>
      <c r="E132" s="85">
        <v>0.01</v>
      </c>
      <c r="F132" s="87">
        <v>0</v>
      </c>
      <c r="G132" s="87">
        <v>0.01</v>
      </c>
      <c r="H132" s="87">
        <v>0.02</v>
      </c>
      <c r="I132" s="95">
        <v>0.01</v>
      </c>
      <c r="J132" s="68">
        <v>0.01</v>
      </c>
      <c r="K132" s="68">
        <v>0.02</v>
      </c>
      <c r="L132" s="68">
        <v>0.01</v>
      </c>
      <c r="M132" s="67">
        <v>0.02</v>
      </c>
      <c r="N132" s="68">
        <v>0.01</v>
      </c>
      <c r="O132" s="68">
        <v>0.02</v>
      </c>
      <c r="P132" s="67">
        <v>0.02</v>
      </c>
      <c r="Q132" s="68">
        <v>0.02</v>
      </c>
      <c r="R132" s="67">
        <v>0.01</v>
      </c>
    </row>
    <row r="133" spans="1:18" ht="11.25" customHeight="1" x14ac:dyDescent="0.25">
      <c r="A133" s="317"/>
      <c r="B133" s="34" t="s">
        <v>108</v>
      </c>
      <c r="D133" s="21">
        <v>0.21</v>
      </c>
      <c r="E133" s="85">
        <v>0.12</v>
      </c>
      <c r="F133" s="87">
        <v>0.13</v>
      </c>
      <c r="G133" s="87">
        <v>0.08</v>
      </c>
      <c r="H133" s="87">
        <v>0.14000000000000001</v>
      </c>
      <c r="I133" s="95">
        <v>0.12</v>
      </c>
      <c r="J133" s="68">
        <v>0.13</v>
      </c>
      <c r="K133" s="68">
        <v>0.09</v>
      </c>
      <c r="L133" s="68">
        <v>0.12</v>
      </c>
      <c r="M133" s="67">
        <v>0.14000000000000001</v>
      </c>
      <c r="N133" s="68">
        <v>0.11</v>
      </c>
      <c r="O133" s="68">
        <v>0.13</v>
      </c>
      <c r="P133" s="67">
        <v>0.2</v>
      </c>
      <c r="Q133" s="68">
        <v>0.09</v>
      </c>
      <c r="R133" s="67">
        <v>0.13</v>
      </c>
    </row>
    <row r="134" spans="1:18" ht="11.25" customHeight="1" x14ac:dyDescent="0.25">
      <c r="A134" s="317"/>
      <c r="B134" s="34" t="s">
        <v>109</v>
      </c>
      <c r="D134" s="21">
        <v>0.44</v>
      </c>
      <c r="E134" s="85">
        <v>0.33</v>
      </c>
      <c r="F134" s="87">
        <v>0.36</v>
      </c>
      <c r="G134" s="87">
        <v>0.37</v>
      </c>
      <c r="H134" s="87">
        <v>0.28999999999999998</v>
      </c>
      <c r="I134" s="95">
        <v>0.35</v>
      </c>
      <c r="J134" s="68">
        <v>0.38</v>
      </c>
      <c r="K134" s="68">
        <v>0.28999999999999998</v>
      </c>
      <c r="L134" s="68">
        <v>0.35</v>
      </c>
      <c r="M134" s="67">
        <v>0.35</v>
      </c>
      <c r="N134" s="68">
        <v>0.31</v>
      </c>
      <c r="O134" s="68">
        <v>0.41</v>
      </c>
      <c r="P134" s="67">
        <v>0.32</v>
      </c>
      <c r="Q134" s="68">
        <v>0.41</v>
      </c>
      <c r="R134" s="67">
        <v>0.28999999999999998</v>
      </c>
    </row>
    <row r="135" spans="1:18" ht="11.25" customHeight="1" x14ac:dyDescent="0.25">
      <c r="A135" s="318"/>
      <c r="B135" s="34" t="s">
        <v>110</v>
      </c>
      <c r="D135" s="21">
        <v>0.32</v>
      </c>
      <c r="E135" s="85">
        <v>0.6</v>
      </c>
      <c r="F135" s="87">
        <v>0.57999999999999996</v>
      </c>
      <c r="G135" s="87">
        <v>0.62</v>
      </c>
      <c r="H135" s="87">
        <v>0.56999999999999995</v>
      </c>
      <c r="I135" s="95">
        <v>0.64</v>
      </c>
      <c r="J135" s="68">
        <v>0.66</v>
      </c>
      <c r="K135" s="68">
        <v>0.53</v>
      </c>
      <c r="L135" s="68">
        <v>0.62</v>
      </c>
      <c r="M135" s="67">
        <v>0.6</v>
      </c>
      <c r="N135" s="68">
        <v>0.56000000000000005</v>
      </c>
      <c r="O135" s="68">
        <v>0.71</v>
      </c>
      <c r="P135" s="67">
        <v>0.69</v>
      </c>
      <c r="Q135" s="68">
        <v>0.66</v>
      </c>
      <c r="R135" s="67">
        <v>0.59</v>
      </c>
    </row>
    <row r="136" spans="1:18" ht="3.75" customHeight="1" x14ac:dyDescent="0.25">
      <c r="A136" s="103"/>
      <c r="B136" s="33"/>
      <c r="C136" s="47"/>
      <c r="D136" s="47"/>
      <c r="E136" s="84"/>
      <c r="F136" s="88"/>
      <c r="G136" s="88"/>
      <c r="H136" s="88"/>
      <c r="I136" s="96"/>
      <c r="J136" s="78"/>
      <c r="K136" s="78"/>
      <c r="L136" s="78"/>
      <c r="M136" s="62"/>
      <c r="N136" s="78"/>
      <c r="O136" s="78"/>
      <c r="P136" s="62"/>
      <c r="Q136" s="78"/>
      <c r="R136" s="62"/>
    </row>
    <row r="137" spans="1:18" ht="11.25" customHeight="1" x14ac:dyDescent="0.25">
      <c r="A137" s="326" t="s">
        <v>111</v>
      </c>
      <c r="B137" s="34" t="s">
        <v>112</v>
      </c>
      <c r="C137" s="21">
        <v>0.16</v>
      </c>
      <c r="E137" s="85">
        <v>7.0000000000000007E-2</v>
      </c>
      <c r="F137" s="87">
        <v>0.06</v>
      </c>
      <c r="G137" s="87">
        <v>7.0000000000000007E-2</v>
      </c>
      <c r="H137" s="87">
        <v>7.0000000000000007E-2</v>
      </c>
      <c r="I137" s="95">
        <v>0.09</v>
      </c>
      <c r="J137" s="68">
        <v>0.06</v>
      </c>
      <c r="K137" s="68">
        <v>0.01</v>
      </c>
      <c r="L137" s="68">
        <v>0.1</v>
      </c>
      <c r="M137" s="67">
        <v>0.12</v>
      </c>
      <c r="N137" s="68">
        <v>0.06</v>
      </c>
      <c r="O137" s="68">
        <v>0.11</v>
      </c>
      <c r="P137" s="67">
        <v>0.09</v>
      </c>
      <c r="Q137" s="68">
        <v>7.0000000000000007E-2</v>
      </c>
      <c r="R137" s="67">
        <v>0.08</v>
      </c>
    </row>
    <row r="138" spans="1:18" ht="22.5" customHeight="1" x14ac:dyDescent="0.25">
      <c r="A138" s="326"/>
      <c r="B138" s="36" t="s">
        <v>113</v>
      </c>
      <c r="C138" s="51">
        <v>0.15</v>
      </c>
      <c r="D138" s="51"/>
      <c r="E138" s="85">
        <v>0.09</v>
      </c>
      <c r="F138" s="87">
        <v>0.06</v>
      </c>
      <c r="G138" s="87">
        <v>7.0000000000000007E-2</v>
      </c>
      <c r="H138" s="87">
        <v>0.1</v>
      </c>
      <c r="I138" s="95">
        <v>0.11</v>
      </c>
      <c r="J138" s="68">
        <v>0.1</v>
      </c>
      <c r="K138" s="68">
        <v>0.09</v>
      </c>
      <c r="L138" s="68">
        <v>0.11</v>
      </c>
      <c r="M138" s="67">
        <v>0.11</v>
      </c>
      <c r="N138" s="68">
        <v>0.09</v>
      </c>
      <c r="O138" s="68">
        <v>0.11</v>
      </c>
      <c r="P138" s="67">
        <v>0.13</v>
      </c>
      <c r="Q138" s="68">
        <v>0.12</v>
      </c>
      <c r="R138" s="67">
        <v>0.1</v>
      </c>
    </row>
    <row r="139" spans="1:18" ht="11.25" customHeight="1" x14ac:dyDescent="0.25">
      <c r="A139" s="326"/>
      <c r="B139" s="34" t="s">
        <v>114</v>
      </c>
      <c r="C139" s="21">
        <v>0.11</v>
      </c>
      <c r="E139" s="85">
        <v>0.02</v>
      </c>
      <c r="F139" s="87">
        <v>0.01</v>
      </c>
      <c r="G139" s="87">
        <v>0.02</v>
      </c>
      <c r="H139" s="87">
        <v>0.02</v>
      </c>
      <c r="I139" s="95">
        <v>0.02</v>
      </c>
      <c r="J139" s="68">
        <v>0.01</v>
      </c>
      <c r="K139" s="68">
        <v>0.02</v>
      </c>
      <c r="L139" s="68">
        <v>0.01</v>
      </c>
      <c r="M139" s="67">
        <v>0.01</v>
      </c>
      <c r="N139" s="68">
        <v>0.01</v>
      </c>
      <c r="O139" s="68">
        <v>0.02</v>
      </c>
      <c r="P139" s="67">
        <v>0.03</v>
      </c>
      <c r="Q139" s="68">
        <v>0.03</v>
      </c>
      <c r="R139" s="67">
        <v>0.02</v>
      </c>
    </row>
    <row r="140" spans="1:18" ht="11.25" customHeight="1" x14ac:dyDescent="0.25">
      <c r="A140" s="326"/>
      <c r="B140" s="34" t="s">
        <v>10</v>
      </c>
      <c r="C140" s="21">
        <v>0.72</v>
      </c>
      <c r="E140" s="85">
        <v>0.75</v>
      </c>
      <c r="F140" s="87">
        <v>0.78</v>
      </c>
      <c r="G140" s="87">
        <v>0.76</v>
      </c>
      <c r="H140" s="87">
        <v>0.75</v>
      </c>
      <c r="I140" s="95">
        <v>0.71</v>
      </c>
      <c r="J140" s="68">
        <v>0.74</v>
      </c>
      <c r="K140" s="68">
        <v>0.72</v>
      </c>
      <c r="L140" s="68">
        <v>0.7</v>
      </c>
      <c r="M140" s="67">
        <v>0.66</v>
      </c>
      <c r="N140" s="68">
        <v>0.8</v>
      </c>
      <c r="O140" s="68">
        <v>0.66</v>
      </c>
      <c r="P140" s="67">
        <v>0.56999999999999995</v>
      </c>
      <c r="Q140" s="68">
        <v>0.72</v>
      </c>
      <c r="R140" s="67">
        <v>0.74</v>
      </c>
    </row>
    <row r="141" spans="1:18" ht="11.25" customHeight="1" x14ac:dyDescent="0.25">
      <c r="A141" s="326"/>
      <c r="B141" s="34" t="s">
        <v>115</v>
      </c>
      <c r="C141" s="21">
        <v>0.05</v>
      </c>
      <c r="E141" s="85">
        <v>0.05</v>
      </c>
      <c r="F141" s="87">
        <v>0.04</v>
      </c>
      <c r="G141" s="87">
        <v>7.0000000000000007E-2</v>
      </c>
      <c r="H141" s="87">
        <v>0.04</v>
      </c>
      <c r="I141" s="95">
        <v>0.04</v>
      </c>
      <c r="J141" s="68">
        <v>0.06</v>
      </c>
      <c r="K141" s="68">
        <v>0.05</v>
      </c>
      <c r="L141" s="68">
        <v>7.0000000000000007E-2</v>
      </c>
      <c r="M141" s="67">
        <v>7.0000000000000007E-2</v>
      </c>
      <c r="N141" s="68">
        <v>0.03</v>
      </c>
      <c r="O141" s="68">
        <v>0.06</v>
      </c>
      <c r="P141" s="67">
        <v>0.15</v>
      </c>
      <c r="Q141" s="68">
        <v>0.05</v>
      </c>
      <c r="R141" s="67">
        <v>0.04</v>
      </c>
    </row>
    <row r="142" spans="1:18" ht="22.5" customHeight="1" x14ac:dyDescent="0.25">
      <c r="A142" s="326"/>
      <c r="B142" s="36" t="s">
        <v>116</v>
      </c>
      <c r="C142" s="51">
        <v>0.02</v>
      </c>
      <c r="D142" s="51"/>
      <c r="E142" s="85">
        <v>0.01</v>
      </c>
      <c r="F142" s="87">
        <v>0.01</v>
      </c>
      <c r="G142" s="87">
        <v>0.01</v>
      </c>
      <c r="H142" s="87">
        <v>0.01</v>
      </c>
      <c r="I142" s="95">
        <v>0.01</v>
      </c>
      <c r="J142" s="68">
        <v>0.01</v>
      </c>
      <c r="K142" s="68">
        <v>0.01</v>
      </c>
      <c r="L142" s="68">
        <v>0.01</v>
      </c>
      <c r="M142" s="67">
        <v>0.01</v>
      </c>
      <c r="N142" s="68">
        <v>0.01</v>
      </c>
      <c r="O142" s="68">
        <v>0.02</v>
      </c>
      <c r="P142" s="67">
        <v>0.02</v>
      </c>
      <c r="Q142" s="68">
        <v>0.01</v>
      </c>
      <c r="R142" s="67">
        <v>0.01</v>
      </c>
    </row>
    <row r="143" spans="1:18" ht="11.25" customHeight="1" x14ac:dyDescent="0.25">
      <c r="A143" s="327"/>
      <c r="B143" s="34" t="s">
        <v>117</v>
      </c>
      <c r="C143" s="21">
        <v>0.04</v>
      </c>
      <c r="E143" s="85">
        <v>0.01</v>
      </c>
      <c r="F143" s="87">
        <v>0.04</v>
      </c>
      <c r="G143" s="87">
        <v>0.01</v>
      </c>
      <c r="H143" s="87">
        <v>0.01</v>
      </c>
      <c r="I143" s="95">
        <v>0.02</v>
      </c>
      <c r="J143" s="68">
        <v>0.02</v>
      </c>
      <c r="K143" s="68">
        <v>0.02</v>
      </c>
      <c r="L143" s="68">
        <v>0.01</v>
      </c>
      <c r="M143" s="67">
        <v>0.02</v>
      </c>
      <c r="N143" s="68">
        <v>0.01</v>
      </c>
      <c r="O143" s="68">
        <v>0.02</v>
      </c>
      <c r="P143" s="67">
        <v>0.01</v>
      </c>
      <c r="Q143" s="68">
        <v>0.02</v>
      </c>
      <c r="R143" s="67">
        <v>0.01</v>
      </c>
    </row>
    <row r="144" spans="1:18" ht="3.75" customHeight="1" x14ac:dyDescent="0.25">
      <c r="A144" s="103"/>
      <c r="B144" s="33"/>
      <c r="C144" s="47"/>
      <c r="D144" s="47"/>
      <c r="E144" s="84"/>
      <c r="F144" s="88"/>
      <c r="G144" s="88"/>
      <c r="H144" s="88"/>
      <c r="I144" s="96"/>
      <c r="J144" s="78"/>
      <c r="K144" s="78"/>
      <c r="L144" s="78"/>
      <c r="M144" s="62"/>
      <c r="N144" s="78"/>
      <c r="O144" s="78"/>
      <c r="P144" s="62"/>
      <c r="Q144" s="78"/>
      <c r="R144" s="62"/>
    </row>
    <row r="145" spans="1:18" ht="10.5" customHeight="1" x14ac:dyDescent="0.25">
      <c r="A145" s="317" t="s">
        <v>118</v>
      </c>
      <c r="B145" s="34" t="s">
        <v>7</v>
      </c>
      <c r="D145" s="21">
        <v>0.17</v>
      </c>
      <c r="E145" s="85">
        <v>0.11</v>
      </c>
      <c r="F145" s="87">
        <v>0.08</v>
      </c>
      <c r="G145" s="87">
        <v>0.1</v>
      </c>
      <c r="H145" s="87">
        <v>0.12</v>
      </c>
      <c r="I145" s="95">
        <v>0.12</v>
      </c>
      <c r="J145" s="68">
        <v>0.12</v>
      </c>
      <c r="K145" s="68">
        <v>0.06</v>
      </c>
      <c r="L145" s="68">
        <v>7.0000000000000007E-2</v>
      </c>
      <c r="M145" s="67">
        <v>7.0000000000000007E-2</v>
      </c>
      <c r="N145" s="68">
        <v>0.12</v>
      </c>
      <c r="O145" s="68">
        <v>0.11</v>
      </c>
      <c r="P145" s="67">
        <v>0.06</v>
      </c>
      <c r="Q145" s="68">
        <v>0.09</v>
      </c>
      <c r="R145" s="67">
        <v>0.1</v>
      </c>
    </row>
    <row r="146" spans="1:18" ht="22.5" customHeight="1" x14ac:dyDescent="0.25">
      <c r="A146" s="317"/>
      <c r="B146" s="36" t="s">
        <v>119</v>
      </c>
      <c r="C146" s="51"/>
      <c r="D146" s="51">
        <v>0.34</v>
      </c>
      <c r="E146" s="85">
        <v>0.55000000000000004</v>
      </c>
      <c r="F146" s="87">
        <v>0.62</v>
      </c>
      <c r="G146" s="87">
        <v>0.59</v>
      </c>
      <c r="H146" s="87">
        <v>0.49</v>
      </c>
      <c r="I146" s="95">
        <v>0.56000000000000005</v>
      </c>
      <c r="J146" s="68">
        <v>0.52</v>
      </c>
      <c r="K146" s="68">
        <v>0.46</v>
      </c>
      <c r="L146" s="68">
        <v>0.75</v>
      </c>
      <c r="M146" s="67">
        <v>0.75</v>
      </c>
      <c r="N146" s="68">
        <v>0.52</v>
      </c>
      <c r="O146" s="68">
        <v>0.63</v>
      </c>
      <c r="P146" s="67">
        <v>0.56999999999999995</v>
      </c>
      <c r="Q146" s="68">
        <v>0.61</v>
      </c>
      <c r="R146" s="67">
        <v>0.53</v>
      </c>
    </row>
    <row r="147" spans="1:18" ht="22.5" customHeight="1" x14ac:dyDescent="0.25">
      <c r="A147" s="317"/>
      <c r="B147" s="36" t="s">
        <v>8</v>
      </c>
      <c r="C147" s="51"/>
      <c r="D147" s="51">
        <v>0.23</v>
      </c>
      <c r="E147" s="85">
        <v>0.25</v>
      </c>
      <c r="F147" s="87">
        <v>0.34</v>
      </c>
      <c r="G147" s="87">
        <v>0.28999999999999998</v>
      </c>
      <c r="H147" s="87">
        <v>0.2</v>
      </c>
      <c r="I147" s="95">
        <v>0.25</v>
      </c>
      <c r="J147" s="68">
        <v>0.17</v>
      </c>
      <c r="K147" s="68">
        <v>0.6</v>
      </c>
      <c r="L147" s="68">
        <v>0.4</v>
      </c>
      <c r="M147" s="67">
        <v>0.46</v>
      </c>
      <c r="N147" s="68">
        <v>0.22</v>
      </c>
      <c r="O147" s="68">
        <v>0.34</v>
      </c>
      <c r="P147" s="67">
        <v>0.28999999999999998</v>
      </c>
      <c r="Q147" s="68">
        <v>0.28999999999999998</v>
      </c>
      <c r="R147" s="67">
        <v>0.23</v>
      </c>
    </row>
    <row r="148" spans="1:18" ht="10.5" customHeight="1" x14ac:dyDescent="0.25">
      <c r="A148" s="317"/>
      <c r="B148" s="34" t="s">
        <v>120</v>
      </c>
      <c r="D148" s="21">
        <v>0.1</v>
      </c>
      <c r="E148" s="85">
        <v>0.13</v>
      </c>
      <c r="F148" s="87">
        <v>0.19</v>
      </c>
      <c r="G148" s="87">
        <v>0.23</v>
      </c>
      <c r="H148" s="87">
        <v>0.05</v>
      </c>
      <c r="I148" s="95">
        <v>0.11</v>
      </c>
      <c r="J148" s="68">
        <v>0.14000000000000001</v>
      </c>
      <c r="K148" s="68">
        <v>0.14000000000000001</v>
      </c>
      <c r="L148" s="68">
        <v>0.17</v>
      </c>
      <c r="M148" s="67">
        <v>0.17</v>
      </c>
      <c r="N148" s="68">
        <v>0.11</v>
      </c>
      <c r="O148" s="68">
        <v>0.18</v>
      </c>
      <c r="P148" s="67">
        <v>0.15</v>
      </c>
      <c r="Q148" s="68">
        <v>0.32</v>
      </c>
      <c r="R148" s="67">
        <v>0.03</v>
      </c>
    </row>
    <row r="149" spans="1:18" ht="22.5" customHeight="1" x14ac:dyDescent="0.25">
      <c r="A149" s="317"/>
      <c r="B149" s="36" t="s">
        <v>169</v>
      </c>
      <c r="C149" s="51"/>
      <c r="D149" s="51"/>
      <c r="E149" s="85">
        <v>0.41</v>
      </c>
      <c r="F149" s="87">
        <v>0.41</v>
      </c>
      <c r="G149" s="87">
        <v>0.43</v>
      </c>
      <c r="H149" s="87">
        <v>0.44</v>
      </c>
      <c r="I149" s="95">
        <v>0.4</v>
      </c>
      <c r="J149" s="68">
        <v>0.42</v>
      </c>
      <c r="K149" s="68">
        <v>0.42</v>
      </c>
      <c r="L149" s="68">
        <v>0.46</v>
      </c>
      <c r="M149" s="67">
        <v>0.45</v>
      </c>
      <c r="N149" s="68">
        <v>0.43</v>
      </c>
      <c r="O149" s="68">
        <v>0.4</v>
      </c>
      <c r="P149" s="67">
        <v>0.37</v>
      </c>
      <c r="Q149" s="68">
        <v>0.41</v>
      </c>
      <c r="R149" s="67">
        <v>0.44</v>
      </c>
    </row>
    <row r="150" spans="1:18" ht="22.5" customHeight="1" x14ac:dyDescent="0.25">
      <c r="A150" s="317"/>
      <c r="B150" s="36" t="s">
        <v>171</v>
      </c>
      <c r="C150" s="51"/>
      <c r="D150" s="51"/>
      <c r="E150" s="85">
        <v>0.24</v>
      </c>
      <c r="F150" s="87">
        <v>0.28000000000000003</v>
      </c>
      <c r="G150" s="87">
        <v>0.25</v>
      </c>
      <c r="H150" s="87">
        <v>0.19</v>
      </c>
      <c r="I150" s="95">
        <v>0.26</v>
      </c>
      <c r="J150" s="68">
        <v>0.24</v>
      </c>
      <c r="K150" s="68">
        <v>0.28000000000000003</v>
      </c>
      <c r="L150" s="68">
        <v>0.3</v>
      </c>
      <c r="M150" s="67">
        <v>0.33</v>
      </c>
      <c r="N150" s="68">
        <v>0.22</v>
      </c>
      <c r="O150" s="68">
        <v>0.28000000000000003</v>
      </c>
      <c r="P150" s="67">
        <v>0.23</v>
      </c>
      <c r="Q150" s="68">
        <v>0.28999999999999998</v>
      </c>
      <c r="R150" s="67">
        <v>0.02</v>
      </c>
    </row>
    <row r="151" spans="1:18" ht="22.5" customHeight="1" x14ac:dyDescent="0.25">
      <c r="A151" s="317"/>
      <c r="B151" s="36" t="s">
        <v>121</v>
      </c>
      <c r="C151" s="51"/>
      <c r="D151" s="51">
        <v>0.28999999999999998</v>
      </c>
      <c r="E151" s="85">
        <v>0.28999999999999998</v>
      </c>
      <c r="F151" s="87">
        <v>0.35</v>
      </c>
      <c r="G151" s="87">
        <v>0.32</v>
      </c>
      <c r="H151" s="87">
        <v>0.26</v>
      </c>
      <c r="I151" s="95">
        <v>0.28000000000000003</v>
      </c>
      <c r="J151" s="68">
        <v>0.23</v>
      </c>
      <c r="K151" s="68">
        <v>0.56999999999999995</v>
      </c>
      <c r="L151" s="68">
        <v>0.42</v>
      </c>
      <c r="M151" s="67">
        <v>0.48</v>
      </c>
      <c r="N151" s="68">
        <v>0.26</v>
      </c>
      <c r="O151" s="68">
        <v>0.35</v>
      </c>
      <c r="P151" s="67">
        <v>0.37</v>
      </c>
      <c r="Q151" s="68">
        <v>0.33</v>
      </c>
      <c r="R151" s="67">
        <v>0.28000000000000003</v>
      </c>
    </row>
    <row r="152" spans="1:18" ht="22.5" customHeight="1" x14ac:dyDescent="0.25">
      <c r="A152" s="317"/>
      <c r="B152" s="36" t="s">
        <v>122</v>
      </c>
      <c r="C152" s="51"/>
      <c r="D152" s="51">
        <v>0.22</v>
      </c>
      <c r="E152" s="85">
        <v>0.3</v>
      </c>
      <c r="F152" s="87">
        <v>0.3</v>
      </c>
      <c r="G152" s="87">
        <v>0.27</v>
      </c>
      <c r="H152" s="87">
        <v>0.28999999999999998</v>
      </c>
      <c r="I152" s="95">
        <v>0.33</v>
      </c>
      <c r="J152" s="68">
        <v>0.32</v>
      </c>
      <c r="K152" s="68">
        <v>0.24</v>
      </c>
      <c r="L152" s="68">
        <v>0.28999999999999998</v>
      </c>
      <c r="M152" s="67">
        <v>0.31</v>
      </c>
      <c r="N152" s="68">
        <v>0.34</v>
      </c>
      <c r="O152" s="68">
        <v>0.22</v>
      </c>
      <c r="P152" s="67">
        <v>0.22</v>
      </c>
      <c r="Q152" s="68">
        <v>0.3</v>
      </c>
      <c r="R152" s="67">
        <v>0.3</v>
      </c>
    </row>
    <row r="153" spans="1:18" ht="22.5" customHeight="1" x14ac:dyDescent="0.25">
      <c r="A153" s="317"/>
      <c r="B153" s="36" t="s">
        <v>123</v>
      </c>
      <c r="C153" s="51"/>
      <c r="D153" s="51">
        <v>0.28000000000000003</v>
      </c>
      <c r="E153" s="85">
        <v>0.25</v>
      </c>
      <c r="F153" s="87">
        <v>0.25</v>
      </c>
      <c r="G153" s="87">
        <v>0.25</v>
      </c>
      <c r="H153" s="87">
        <v>0.26</v>
      </c>
      <c r="I153" s="95">
        <v>0.23</v>
      </c>
      <c r="J153" s="68">
        <v>0.28000000000000003</v>
      </c>
      <c r="K153" s="68">
        <v>0.18</v>
      </c>
      <c r="L153" s="68">
        <v>0.23</v>
      </c>
      <c r="M153" s="67">
        <v>0.23</v>
      </c>
      <c r="N153" s="68">
        <v>0.26</v>
      </c>
      <c r="O153" s="68">
        <v>0.23</v>
      </c>
      <c r="P153" s="67">
        <v>0.24</v>
      </c>
      <c r="Q153" s="68">
        <v>0.27</v>
      </c>
      <c r="R153" s="67">
        <v>0.25</v>
      </c>
    </row>
    <row r="154" spans="1:18" ht="35.25" customHeight="1" x14ac:dyDescent="0.25">
      <c r="A154" s="318"/>
      <c r="B154" s="36" t="s">
        <v>124</v>
      </c>
      <c r="C154" s="51"/>
      <c r="D154" s="51">
        <v>0.56999999999999995</v>
      </c>
      <c r="E154" s="85">
        <v>0.53</v>
      </c>
      <c r="F154" s="87">
        <v>0.53</v>
      </c>
      <c r="G154" s="87">
        <v>0.55000000000000004</v>
      </c>
      <c r="H154" s="87">
        <v>0.55000000000000004</v>
      </c>
      <c r="I154" s="95">
        <v>0.52</v>
      </c>
      <c r="J154" s="68">
        <v>0.56000000000000005</v>
      </c>
      <c r="K154" s="68">
        <v>0.51</v>
      </c>
      <c r="L154" s="68">
        <v>0.59</v>
      </c>
      <c r="M154" s="67">
        <v>0.55000000000000004</v>
      </c>
      <c r="N154" s="68">
        <f>516/1002</f>
        <v>0.51497005988023947</v>
      </c>
      <c r="O154" s="68">
        <v>0.57999999999999996</v>
      </c>
      <c r="P154" s="67">
        <v>0.51</v>
      </c>
      <c r="Q154" s="68">
        <v>0.57999999999999996</v>
      </c>
      <c r="R154" s="67">
        <v>0.56000000000000005</v>
      </c>
    </row>
    <row r="155" spans="1:18" ht="3.75" customHeight="1" x14ac:dyDescent="0.25">
      <c r="A155" s="103"/>
      <c r="B155" s="33"/>
      <c r="C155" s="47"/>
      <c r="D155" s="47"/>
      <c r="E155" s="84"/>
      <c r="F155" s="88"/>
      <c r="G155" s="88"/>
      <c r="H155" s="88"/>
      <c r="I155" s="96"/>
      <c r="J155" s="78"/>
      <c r="K155" s="78"/>
      <c r="L155" s="78"/>
      <c r="M155" s="62"/>
      <c r="N155" s="78"/>
      <c r="O155" s="78"/>
      <c r="P155" s="62"/>
      <c r="Q155" s="78"/>
      <c r="R155" s="62"/>
    </row>
    <row r="156" spans="1:18" ht="12.75" customHeight="1" x14ac:dyDescent="0.25">
      <c r="A156" s="317" t="s">
        <v>125</v>
      </c>
      <c r="B156" s="34" t="s">
        <v>172</v>
      </c>
      <c r="D156" s="21">
        <v>0.26</v>
      </c>
      <c r="E156" s="85">
        <f>457/1572</f>
        <v>0.2907124681933842</v>
      </c>
      <c r="F156" s="87">
        <f>37/154</f>
        <v>0.24025974025974026</v>
      </c>
      <c r="G156" s="87">
        <f>111/376</f>
        <v>0.29521276595744683</v>
      </c>
      <c r="H156" s="87">
        <f>144/488</f>
        <v>0.29508196721311475</v>
      </c>
      <c r="I156" s="95">
        <v>0.31</v>
      </c>
      <c r="J156" s="68">
        <f>279/1084</f>
        <v>0.25738007380073802</v>
      </c>
      <c r="K156" s="68">
        <f>185/481</f>
        <v>0.38461538461538464</v>
      </c>
      <c r="L156" s="68">
        <f>141/451</f>
        <v>0.31263858093126384</v>
      </c>
      <c r="M156" s="67">
        <f>143/447</f>
        <v>0.31991051454138703</v>
      </c>
      <c r="N156" s="68">
        <f>291/999</f>
        <v>0.29129129129129128</v>
      </c>
      <c r="O156" s="68">
        <f>131/430</f>
        <v>0.30465116279069765</v>
      </c>
      <c r="P156" s="67">
        <f>24/94</f>
        <v>0.25531914893617019</v>
      </c>
      <c r="Q156" s="68">
        <f>95/417</f>
        <v>0.22781774580335731</v>
      </c>
      <c r="R156" s="67">
        <f>246/741</f>
        <v>0.33198380566801622</v>
      </c>
    </row>
    <row r="157" spans="1:18" ht="12.75" customHeight="1" x14ac:dyDescent="0.25">
      <c r="A157" s="317"/>
      <c r="B157" s="34" t="s">
        <v>126</v>
      </c>
      <c r="D157" s="21">
        <v>0.26</v>
      </c>
      <c r="E157" s="85">
        <f>205/1572</f>
        <v>0.13040712468193386</v>
      </c>
      <c r="F157" s="87">
        <f>20/154</f>
        <v>0.12987012987012986</v>
      </c>
      <c r="G157" s="87">
        <f>38/376</f>
        <v>0.10106382978723404</v>
      </c>
      <c r="H157" s="87">
        <f>78/488</f>
        <v>0.1598360655737705</v>
      </c>
      <c r="I157" s="95">
        <v>0.12</v>
      </c>
      <c r="J157" s="68">
        <f>151/1084</f>
        <v>0.13929889298892989</v>
      </c>
      <c r="K157" s="68">
        <f>35/481</f>
        <v>7.2765072765072769E-2</v>
      </c>
      <c r="L157" s="68">
        <f>51/453</f>
        <v>0.11258278145695365</v>
      </c>
      <c r="M157" s="67">
        <f>37/447</f>
        <v>8.2774049217002238E-2</v>
      </c>
      <c r="N157" s="68">
        <f>138/999</f>
        <v>0.13813813813813813</v>
      </c>
      <c r="O157" s="68">
        <f>55/430</f>
        <v>0.12790697674418605</v>
      </c>
      <c r="P157" s="67">
        <f>6/94</f>
        <v>6.3829787234042548E-2</v>
      </c>
      <c r="Q157" s="68">
        <f>59/417</f>
        <v>0.14148681055155876</v>
      </c>
      <c r="R157" s="67">
        <f>99/741</f>
        <v>0.13360323886639677</v>
      </c>
    </row>
    <row r="158" spans="1:18" ht="12.75" customHeight="1" x14ac:dyDescent="0.25">
      <c r="A158" s="317"/>
      <c r="B158" s="34" t="s">
        <v>149</v>
      </c>
      <c r="D158" s="21">
        <v>0.3</v>
      </c>
      <c r="E158" s="85">
        <f>591/1572</f>
        <v>0.37595419847328243</v>
      </c>
      <c r="F158" s="87">
        <f>69/154</f>
        <v>0.44805194805194803</v>
      </c>
      <c r="G158" s="87">
        <f>158/376</f>
        <v>0.42021276595744683</v>
      </c>
      <c r="H158" s="87">
        <f>173/488</f>
        <v>0.35450819672131145</v>
      </c>
      <c r="I158" s="95">
        <v>0.34</v>
      </c>
      <c r="J158" s="68">
        <f>447/1084</f>
        <v>0.41236162361623618</v>
      </c>
      <c r="K158" s="68">
        <f>160/481</f>
        <v>0.33264033264033266</v>
      </c>
      <c r="L158" s="68">
        <f>176/453</f>
        <v>0.38852097130242824</v>
      </c>
      <c r="M158" s="67">
        <f>175/447</f>
        <v>0.39149888143176736</v>
      </c>
      <c r="N158" s="68">
        <f>352/999</f>
        <v>0.35235235235235235</v>
      </c>
      <c r="O158" s="68">
        <f>172/430</f>
        <v>0.4</v>
      </c>
      <c r="P158" s="67">
        <f>49/94</f>
        <v>0.52127659574468088</v>
      </c>
      <c r="Q158" s="68">
        <f>183/417</f>
        <v>0.43884892086330934</v>
      </c>
      <c r="R158" s="67">
        <f>248/741</f>
        <v>0.33468286099865047</v>
      </c>
    </row>
    <row r="159" spans="1:18" ht="12.75" customHeight="1" x14ac:dyDescent="0.25">
      <c r="A159" s="318"/>
      <c r="B159" s="34" t="s">
        <v>5</v>
      </c>
      <c r="D159" s="21">
        <v>0.17</v>
      </c>
      <c r="E159" s="85">
        <f>321/1572</f>
        <v>0.20419847328244276</v>
      </c>
      <c r="F159" s="87">
        <f>28/154</f>
        <v>0.18181818181818182</v>
      </c>
      <c r="G159" s="87">
        <f>69/376</f>
        <v>0.18351063829787234</v>
      </c>
      <c r="H159" s="87">
        <f>93/488</f>
        <v>0.19057377049180327</v>
      </c>
      <c r="I159" s="95">
        <v>0.23</v>
      </c>
      <c r="J159" s="68">
        <f>207/1084</f>
        <v>0.19095940959409594</v>
      </c>
      <c r="K159" s="68">
        <f>99/481</f>
        <v>0.20582120582120583</v>
      </c>
      <c r="L159" s="68">
        <f>85/453</f>
        <v>0.18763796909492272</v>
      </c>
      <c r="M159" s="67">
        <f>92/447</f>
        <v>0.2058165548098434</v>
      </c>
      <c r="N159" s="68">
        <f>218/999</f>
        <v>0.21821821821821821</v>
      </c>
      <c r="O159" s="68">
        <f>72/430</f>
        <v>0.16744186046511628</v>
      </c>
      <c r="P159" s="67">
        <f>15/94</f>
        <v>0.15957446808510639</v>
      </c>
      <c r="Q159" s="68">
        <f>80/417</f>
        <v>0.19184652278177458</v>
      </c>
      <c r="R159" s="67">
        <f>148/741</f>
        <v>0.19973009446693657</v>
      </c>
    </row>
    <row r="160" spans="1:18" ht="3.75" customHeight="1" x14ac:dyDescent="0.25">
      <c r="A160" s="103"/>
      <c r="B160" s="33"/>
      <c r="C160" s="47"/>
      <c r="D160" s="47"/>
      <c r="E160" s="84"/>
      <c r="F160" s="88"/>
      <c r="G160" s="88"/>
      <c r="H160" s="88"/>
      <c r="I160" s="96"/>
      <c r="J160" s="78"/>
      <c r="K160" s="78"/>
      <c r="L160" s="78"/>
      <c r="M160" s="62"/>
      <c r="N160" s="78"/>
      <c r="O160" s="78"/>
      <c r="P160" s="62"/>
      <c r="Q160" s="78"/>
      <c r="R160" s="62"/>
    </row>
    <row r="161" spans="1:18" ht="12.75" customHeight="1" x14ac:dyDescent="0.25">
      <c r="A161" s="317" t="s">
        <v>173</v>
      </c>
      <c r="B161" s="34" t="s">
        <v>130</v>
      </c>
      <c r="E161" s="85">
        <v>0.38</v>
      </c>
      <c r="F161" s="87">
        <v>0.32</v>
      </c>
      <c r="G161" s="87">
        <v>0.36</v>
      </c>
      <c r="H161" s="87">
        <v>0.39</v>
      </c>
      <c r="I161" s="95">
        <v>0.4</v>
      </c>
      <c r="J161" s="68">
        <v>0.36</v>
      </c>
      <c r="K161" s="68">
        <v>0.38</v>
      </c>
      <c r="L161" s="68">
        <v>0.37</v>
      </c>
      <c r="M161" s="67">
        <v>0.32</v>
      </c>
      <c r="N161" s="68">
        <v>0.39</v>
      </c>
      <c r="O161" s="68">
        <v>0.35</v>
      </c>
      <c r="P161" s="67">
        <v>0.35</v>
      </c>
      <c r="Q161" s="68">
        <v>0.39</v>
      </c>
      <c r="R161" s="67">
        <v>0.37</v>
      </c>
    </row>
    <row r="162" spans="1:18" ht="12.75" customHeight="1" x14ac:dyDescent="0.25">
      <c r="A162" s="317"/>
      <c r="B162" s="34" t="s">
        <v>131</v>
      </c>
      <c r="D162" s="21">
        <v>0.12</v>
      </c>
      <c r="E162" s="85">
        <v>0.11</v>
      </c>
      <c r="F162" s="87">
        <v>0.18</v>
      </c>
      <c r="G162" s="87">
        <v>0.13</v>
      </c>
      <c r="H162" s="87">
        <v>7.0000000000000007E-2</v>
      </c>
      <c r="I162" s="95">
        <v>0.11</v>
      </c>
      <c r="J162" s="68">
        <v>0.11</v>
      </c>
      <c r="K162" s="68">
        <v>0.12</v>
      </c>
      <c r="L162" s="68">
        <v>0.11</v>
      </c>
      <c r="M162" s="67">
        <v>0.14000000000000001</v>
      </c>
      <c r="N162" s="68">
        <v>0.12</v>
      </c>
      <c r="O162" s="68">
        <v>0.1</v>
      </c>
      <c r="P162" s="67">
        <v>0.06</v>
      </c>
      <c r="Q162" s="68">
        <v>0.13</v>
      </c>
      <c r="R162" s="67">
        <v>0.11</v>
      </c>
    </row>
    <row r="163" spans="1:18" ht="12.75" customHeight="1" x14ac:dyDescent="0.25">
      <c r="A163" s="317"/>
      <c r="B163" s="34" t="s">
        <v>132</v>
      </c>
      <c r="E163" s="85">
        <v>0.15</v>
      </c>
      <c r="F163" s="87">
        <v>0.2</v>
      </c>
      <c r="G163" s="87">
        <v>0.15</v>
      </c>
      <c r="H163" s="87">
        <v>0.13</v>
      </c>
      <c r="I163" s="95">
        <v>0.15</v>
      </c>
      <c r="J163" s="68">
        <v>0.17</v>
      </c>
      <c r="K163" s="68">
        <v>0.15</v>
      </c>
      <c r="L163" s="68">
        <v>0.14000000000000001</v>
      </c>
      <c r="M163" s="67">
        <v>0.16</v>
      </c>
      <c r="N163" s="68">
        <v>0.13</v>
      </c>
      <c r="O163" s="68">
        <v>0.2</v>
      </c>
      <c r="P163" s="67">
        <v>0.19</v>
      </c>
      <c r="Q163" s="68">
        <v>0.22</v>
      </c>
      <c r="R163" s="67">
        <v>0.12</v>
      </c>
    </row>
    <row r="164" spans="1:18" ht="12.75" customHeight="1" x14ac:dyDescent="0.25">
      <c r="A164" s="317"/>
      <c r="B164" s="34" t="s">
        <v>133</v>
      </c>
      <c r="D164" s="21">
        <v>0.17</v>
      </c>
      <c r="E164" s="85">
        <v>0.05</v>
      </c>
      <c r="F164" s="87">
        <v>0.08</v>
      </c>
      <c r="G164" s="87">
        <v>0.06</v>
      </c>
      <c r="H164" s="87">
        <v>0.03</v>
      </c>
      <c r="I164" s="95">
        <v>0.06</v>
      </c>
      <c r="J164" s="68">
        <v>0.06</v>
      </c>
      <c r="K164" s="68">
        <v>0.03</v>
      </c>
      <c r="L164" s="68">
        <v>0.04</v>
      </c>
      <c r="M164" s="67">
        <v>0.05</v>
      </c>
      <c r="N164" s="68">
        <v>0.05</v>
      </c>
      <c r="O164" s="68">
        <v>0.05</v>
      </c>
      <c r="P164" s="67">
        <v>0.06</v>
      </c>
      <c r="Q164" s="68">
        <v>0.09</v>
      </c>
      <c r="R164" s="67">
        <v>0.04</v>
      </c>
    </row>
    <row r="165" spans="1:18" ht="12.75" customHeight="1" x14ac:dyDescent="0.25">
      <c r="A165" s="318"/>
      <c r="B165" s="41" t="s">
        <v>134</v>
      </c>
      <c r="C165" s="53">
        <v>0.72</v>
      </c>
      <c r="D165" s="53"/>
      <c r="E165" s="89">
        <v>0.38</v>
      </c>
      <c r="F165" s="90">
        <v>0.34</v>
      </c>
      <c r="G165" s="90">
        <v>0.38</v>
      </c>
      <c r="H165" s="90">
        <v>0.42</v>
      </c>
      <c r="I165" s="97">
        <v>0.35</v>
      </c>
      <c r="J165" s="91">
        <v>0.38</v>
      </c>
      <c r="K165" s="91">
        <v>0.37</v>
      </c>
      <c r="L165" s="91">
        <v>0.38</v>
      </c>
      <c r="M165" s="92">
        <v>0.39</v>
      </c>
      <c r="N165" s="91">
        <f>387/1032</f>
        <v>0.375</v>
      </c>
      <c r="O165" s="91">
        <v>0.37</v>
      </c>
      <c r="P165" s="92">
        <v>0.44</v>
      </c>
      <c r="Q165" s="91">
        <v>0.27</v>
      </c>
      <c r="R165" s="92">
        <v>0.42</v>
      </c>
    </row>
    <row r="166" spans="1:18" x14ac:dyDescent="0.25">
      <c r="B166" s="32"/>
      <c r="C166" s="14"/>
      <c r="D166" s="14"/>
    </row>
    <row r="167" spans="1:18" x14ac:dyDescent="0.25">
      <c r="B167" s="32"/>
      <c r="C167" s="14"/>
      <c r="D167" s="14"/>
    </row>
    <row r="168" spans="1:18" x14ac:dyDescent="0.25">
      <c r="B168" s="32"/>
      <c r="C168" s="14"/>
      <c r="D168" s="14"/>
    </row>
    <row r="169" spans="1:18" x14ac:dyDescent="0.25">
      <c r="B169" s="32"/>
      <c r="C169" s="14"/>
      <c r="D169" s="14"/>
    </row>
    <row r="170" spans="1:18" x14ac:dyDescent="0.25">
      <c r="B170" s="32"/>
      <c r="C170" s="14"/>
      <c r="D170" s="14"/>
    </row>
    <row r="171" spans="1:18" x14ac:dyDescent="0.25">
      <c r="B171" s="32"/>
      <c r="C171" s="14"/>
      <c r="D171" s="14"/>
    </row>
    <row r="172" spans="1:18" x14ac:dyDescent="0.25">
      <c r="B172" s="32"/>
      <c r="C172" s="14"/>
      <c r="D172" s="14"/>
    </row>
    <row r="173" spans="1:18" x14ac:dyDescent="0.25">
      <c r="B173" s="32"/>
      <c r="C173" s="14"/>
      <c r="D173" s="14"/>
    </row>
    <row r="174" spans="1:18" x14ac:dyDescent="0.25">
      <c r="B174" s="32"/>
      <c r="C174" s="14"/>
      <c r="D174" s="14"/>
    </row>
    <row r="175" spans="1:18" x14ac:dyDescent="0.25">
      <c r="B175" s="32"/>
      <c r="C175" s="14"/>
      <c r="D175" s="14"/>
    </row>
    <row r="176" spans="1:18" x14ac:dyDescent="0.25">
      <c r="B176" s="32"/>
      <c r="C176" s="14"/>
      <c r="D176" s="14"/>
    </row>
    <row r="177" spans="2:4" x14ac:dyDescent="0.25">
      <c r="B177" s="32"/>
      <c r="C177" s="14"/>
      <c r="D177" s="14"/>
    </row>
    <row r="178" spans="2:4" x14ac:dyDescent="0.25">
      <c r="B178" s="32"/>
      <c r="C178" s="14"/>
      <c r="D178" s="14"/>
    </row>
    <row r="179" spans="2:4" x14ac:dyDescent="0.25">
      <c r="B179" s="32"/>
      <c r="C179" s="14"/>
      <c r="D179" s="14"/>
    </row>
    <row r="180" spans="2:4" x14ac:dyDescent="0.25">
      <c r="B180" s="32"/>
      <c r="C180" s="14"/>
      <c r="D180" s="14"/>
    </row>
    <row r="181" spans="2:4" x14ac:dyDescent="0.25">
      <c r="B181" s="32"/>
      <c r="C181" s="14"/>
      <c r="D181" s="14"/>
    </row>
    <row r="182" spans="2:4" x14ac:dyDescent="0.25">
      <c r="B182" s="32"/>
      <c r="C182" s="14"/>
      <c r="D182" s="14"/>
    </row>
    <row r="183" spans="2:4" x14ac:dyDescent="0.25">
      <c r="B183" s="32"/>
      <c r="C183" s="14"/>
      <c r="D183" s="14"/>
    </row>
    <row r="184" spans="2:4" x14ac:dyDescent="0.25">
      <c r="B184" s="32"/>
      <c r="C184" s="14"/>
      <c r="D184" s="14"/>
    </row>
    <row r="185" spans="2:4" x14ac:dyDescent="0.25">
      <c r="B185" s="32"/>
      <c r="C185" s="14"/>
      <c r="D185" s="14"/>
    </row>
    <row r="186" spans="2:4" x14ac:dyDescent="0.25">
      <c r="B186" s="32"/>
      <c r="C186" s="14"/>
      <c r="D186" s="14"/>
    </row>
    <row r="187" spans="2:4" x14ac:dyDescent="0.25">
      <c r="B187" s="32"/>
      <c r="C187" s="14"/>
      <c r="D187" s="14"/>
    </row>
    <row r="188" spans="2:4" x14ac:dyDescent="0.25">
      <c r="B188" s="32"/>
      <c r="C188" s="14"/>
      <c r="D188" s="14"/>
    </row>
    <row r="189" spans="2:4" x14ac:dyDescent="0.25">
      <c r="B189" s="32"/>
      <c r="C189" s="14"/>
      <c r="D189" s="14"/>
    </row>
    <row r="190" spans="2:4" x14ac:dyDescent="0.25">
      <c r="B190" s="32"/>
      <c r="C190" s="14"/>
      <c r="D190" s="14"/>
    </row>
    <row r="191" spans="2:4" x14ac:dyDescent="0.25">
      <c r="B191" s="32"/>
      <c r="C191" s="14"/>
      <c r="D191" s="14"/>
    </row>
    <row r="192" spans="2:4" x14ac:dyDescent="0.25">
      <c r="B192" s="32"/>
      <c r="C192" s="14"/>
      <c r="D192" s="14"/>
    </row>
    <row r="193" spans="2:4" x14ac:dyDescent="0.25">
      <c r="B193" s="32"/>
      <c r="C193" s="14"/>
      <c r="D193" s="14"/>
    </row>
    <row r="194" spans="2:4" x14ac:dyDescent="0.25">
      <c r="B194" s="32"/>
      <c r="C194" s="14"/>
      <c r="D194" s="14"/>
    </row>
    <row r="195" spans="2:4" x14ac:dyDescent="0.25">
      <c r="B195" s="32"/>
      <c r="C195" s="14"/>
      <c r="D195" s="14"/>
    </row>
    <row r="196" spans="2:4" x14ac:dyDescent="0.25">
      <c r="B196" s="32"/>
      <c r="C196" s="14"/>
      <c r="D196" s="14"/>
    </row>
    <row r="197" spans="2:4" x14ac:dyDescent="0.25">
      <c r="B197" s="32"/>
      <c r="C197" s="14"/>
      <c r="D197" s="14"/>
    </row>
    <row r="198" spans="2:4" x14ac:dyDescent="0.25">
      <c r="B198" s="32"/>
      <c r="C198" s="14"/>
      <c r="D198" s="14"/>
    </row>
    <row r="199" spans="2:4" x14ac:dyDescent="0.25">
      <c r="B199" s="32"/>
      <c r="C199" s="14"/>
      <c r="D199" s="14"/>
    </row>
    <row r="200" spans="2:4" x14ac:dyDescent="0.25">
      <c r="B200" s="32"/>
      <c r="C200" s="14"/>
      <c r="D200" s="14"/>
    </row>
    <row r="201" spans="2:4" x14ac:dyDescent="0.25">
      <c r="B201" s="32"/>
      <c r="C201" s="14"/>
      <c r="D201" s="14"/>
    </row>
    <row r="202" spans="2:4" x14ac:dyDescent="0.25">
      <c r="B202" s="32"/>
      <c r="C202" s="14"/>
      <c r="D202" s="14"/>
    </row>
    <row r="203" spans="2:4" x14ac:dyDescent="0.25">
      <c r="B203" s="32"/>
      <c r="C203" s="14"/>
      <c r="D203" s="14"/>
    </row>
    <row r="204" spans="2:4" x14ac:dyDescent="0.25">
      <c r="B204" s="32"/>
      <c r="C204" s="14"/>
      <c r="D204" s="14"/>
    </row>
    <row r="205" spans="2:4" x14ac:dyDescent="0.25">
      <c r="B205" s="32"/>
      <c r="C205" s="14"/>
      <c r="D205" s="14"/>
    </row>
    <row r="206" spans="2:4" x14ac:dyDescent="0.25">
      <c r="B206" s="32"/>
      <c r="C206" s="14"/>
      <c r="D206" s="14"/>
    </row>
    <row r="207" spans="2:4" x14ac:dyDescent="0.25">
      <c r="B207" s="32"/>
      <c r="C207" s="14"/>
      <c r="D207" s="14"/>
    </row>
    <row r="208" spans="2:4" x14ac:dyDescent="0.25">
      <c r="B208" s="32"/>
      <c r="C208" s="14"/>
      <c r="D208" s="14"/>
    </row>
    <row r="209" spans="2:4" x14ac:dyDescent="0.25">
      <c r="B209" s="32"/>
      <c r="C209" s="14"/>
      <c r="D209" s="14"/>
    </row>
    <row r="210" spans="2:4" x14ac:dyDescent="0.25">
      <c r="B210" s="32"/>
      <c r="C210" s="14"/>
      <c r="D210" s="14"/>
    </row>
    <row r="211" spans="2:4" x14ac:dyDescent="0.25">
      <c r="B211" s="32"/>
      <c r="C211" s="14"/>
      <c r="D211" s="14"/>
    </row>
    <row r="212" spans="2:4" x14ac:dyDescent="0.25">
      <c r="B212" s="32"/>
      <c r="C212" s="14"/>
      <c r="D212" s="14"/>
    </row>
    <row r="213" spans="2:4" x14ac:dyDescent="0.25">
      <c r="B213" s="32"/>
      <c r="C213" s="14"/>
      <c r="D213" s="14"/>
    </row>
    <row r="214" spans="2:4" x14ac:dyDescent="0.25">
      <c r="B214" s="32"/>
      <c r="C214" s="14"/>
      <c r="D214" s="14"/>
    </row>
    <row r="215" spans="2:4" x14ac:dyDescent="0.25">
      <c r="B215" s="32"/>
      <c r="C215" s="14"/>
      <c r="D215" s="14"/>
    </row>
    <row r="216" spans="2:4" x14ac:dyDescent="0.25">
      <c r="B216" s="32"/>
      <c r="C216" s="14"/>
      <c r="D216" s="14"/>
    </row>
    <row r="217" spans="2:4" x14ac:dyDescent="0.25">
      <c r="B217" s="32"/>
      <c r="C217" s="14"/>
      <c r="D217" s="14"/>
    </row>
  </sheetData>
  <mergeCells count="26">
    <mergeCell ref="N1:P1"/>
    <mergeCell ref="N2:N3"/>
    <mergeCell ref="O2:O3"/>
    <mergeCell ref="P2:P3"/>
    <mergeCell ref="A137:A143"/>
    <mergeCell ref="A36:A38"/>
    <mergeCell ref="A40:A43"/>
    <mergeCell ref="A45:A48"/>
    <mergeCell ref="A50:A60"/>
    <mergeCell ref="A62:A73"/>
    <mergeCell ref="A145:A154"/>
    <mergeCell ref="A156:A159"/>
    <mergeCell ref="A161:A165"/>
    <mergeCell ref="F1:I1"/>
    <mergeCell ref="A4:B4"/>
    <mergeCell ref="A2:B2"/>
    <mergeCell ref="A75:A84"/>
    <mergeCell ref="A86:A105"/>
    <mergeCell ref="A107:A112"/>
    <mergeCell ref="A114:A125"/>
    <mergeCell ref="A127:A135"/>
    <mergeCell ref="A1:B1"/>
    <mergeCell ref="A6:A11"/>
    <mergeCell ref="A13:A20"/>
    <mergeCell ref="A22:A30"/>
    <mergeCell ref="A32:A34"/>
  </mergeCells>
  <pageMargins left="0.05" right="0.05" top="0.25" bottom="0.25" header="0" footer="0"/>
  <pageSetup orientation="landscape" verticalDpi="0" r:id="rId1"/>
  <rowBreaks count="3" manualBreakCount="3">
    <brk id="49" max="16383" man="1"/>
    <brk id="85" max="16383" man="1"/>
    <brk id="1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9C13-FD98-46CE-AB78-DA690F1519CC}">
  <dimension ref="A1:AI249"/>
  <sheetViews>
    <sheetView topLeftCell="A27" zoomScale="115" zoomScaleNormal="115" workbookViewId="0">
      <selection activeCell="A44" sqref="A44:A50"/>
    </sheetView>
  </sheetViews>
  <sheetFormatPr defaultColWidth="9.140625" defaultRowHeight="12.75" x14ac:dyDescent="0.25"/>
  <cols>
    <col min="1" max="1" width="20.5703125" style="15" customWidth="1"/>
    <col min="2" max="2" width="32.5703125" style="34" customWidth="1"/>
    <col min="3" max="3" width="4.5703125" style="86" customWidth="1"/>
    <col min="4" max="10" width="4.5703125" style="65" customWidth="1"/>
    <col min="11" max="11" width="4.5703125" style="121" customWidth="1"/>
    <col min="12" max="34" width="4.5703125" style="3" customWidth="1"/>
    <col min="35" max="16384" width="9.140625" style="3"/>
  </cols>
  <sheetData>
    <row r="1" spans="1:35" s="1" customFormat="1" ht="11.25" customHeight="1" x14ac:dyDescent="0.25">
      <c r="A1" s="330" t="s">
        <v>221</v>
      </c>
      <c r="B1" s="331"/>
      <c r="C1" s="117" t="s">
        <v>180</v>
      </c>
      <c r="D1" s="119" t="s">
        <v>181</v>
      </c>
      <c r="E1" s="119" t="s">
        <v>190</v>
      </c>
      <c r="F1" s="119" t="s">
        <v>191</v>
      </c>
      <c r="G1" s="119" t="s">
        <v>192</v>
      </c>
      <c r="H1" s="119" t="s">
        <v>193</v>
      </c>
      <c r="I1" s="118" t="s">
        <v>194</v>
      </c>
      <c r="J1" s="119" t="s">
        <v>195</v>
      </c>
      <c r="K1" s="122" t="s">
        <v>197</v>
      </c>
      <c r="L1" s="119" t="s">
        <v>196</v>
      </c>
      <c r="M1" s="119" t="s">
        <v>198</v>
      </c>
      <c r="N1" s="119" t="s">
        <v>199</v>
      </c>
      <c r="O1" s="119" t="s">
        <v>200</v>
      </c>
      <c r="P1" s="119" t="s">
        <v>201</v>
      </c>
      <c r="Q1" s="119" t="s">
        <v>202</v>
      </c>
      <c r="R1" s="119" t="s">
        <v>203</v>
      </c>
      <c r="S1" s="123" t="s">
        <v>204</v>
      </c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5" customFormat="1" ht="11.25" customHeight="1" x14ac:dyDescent="0.25">
      <c r="A2" s="322" t="s">
        <v>222</v>
      </c>
      <c r="B2" s="323"/>
      <c r="C2" s="115">
        <v>2005</v>
      </c>
      <c r="D2" s="108">
        <v>38</v>
      </c>
      <c r="E2" s="39">
        <v>78</v>
      </c>
      <c r="F2" s="39">
        <v>26</v>
      </c>
      <c r="G2" s="39">
        <v>104</v>
      </c>
      <c r="H2" s="39">
        <v>72</v>
      </c>
      <c r="I2" s="39">
        <v>33</v>
      </c>
      <c r="J2" s="39">
        <v>62</v>
      </c>
      <c r="K2" s="39">
        <v>23</v>
      </c>
      <c r="L2" s="39">
        <v>58</v>
      </c>
      <c r="M2" s="39">
        <v>33</v>
      </c>
      <c r="N2" s="39">
        <v>22</v>
      </c>
      <c r="O2" s="39">
        <v>25</v>
      </c>
      <c r="P2" s="39">
        <v>29</v>
      </c>
      <c r="Q2" s="39">
        <v>26</v>
      </c>
      <c r="R2" s="39">
        <v>39</v>
      </c>
      <c r="S2" s="6">
        <v>68</v>
      </c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s="7" customFormat="1" ht="6" customHeight="1" x14ac:dyDescent="0.25">
      <c r="A3" s="94"/>
      <c r="B3" s="33"/>
      <c r="C3" s="62"/>
      <c r="K3" s="56"/>
      <c r="S3" s="8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11.25" customHeight="1" x14ac:dyDescent="0.25">
      <c r="A4" s="317" t="s">
        <v>13</v>
      </c>
      <c r="B4" s="34" t="s">
        <v>186</v>
      </c>
      <c r="C4" s="67">
        <v>0.41</v>
      </c>
      <c r="D4" s="12">
        <v>0.28999999999999998</v>
      </c>
      <c r="E4" s="12">
        <v>0.34</v>
      </c>
      <c r="F4" s="12">
        <v>0.38</v>
      </c>
      <c r="G4" s="12">
        <v>0.45</v>
      </c>
      <c r="H4" s="12">
        <v>0.39</v>
      </c>
      <c r="I4" s="12">
        <v>0.52</v>
      </c>
      <c r="J4" s="12">
        <v>0.32</v>
      </c>
      <c r="K4" s="87">
        <v>0.3</v>
      </c>
      <c r="L4" s="12">
        <v>0.48</v>
      </c>
      <c r="M4" s="12">
        <v>0.33</v>
      </c>
      <c r="N4" s="12">
        <v>0.43</v>
      </c>
      <c r="O4" s="12">
        <v>0.44</v>
      </c>
      <c r="P4" s="12">
        <v>0.36</v>
      </c>
      <c r="Q4" s="12">
        <v>0.38</v>
      </c>
      <c r="R4" s="12">
        <v>0.51</v>
      </c>
      <c r="S4" s="13">
        <v>0.49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11.25" customHeight="1" x14ac:dyDescent="0.25">
      <c r="A5" s="317"/>
      <c r="B5" s="37" t="s">
        <v>187</v>
      </c>
      <c r="C5" s="67">
        <v>0.27</v>
      </c>
      <c r="D5" s="12">
        <v>0.24</v>
      </c>
      <c r="E5" s="12">
        <v>0.28999999999999998</v>
      </c>
      <c r="F5" s="12">
        <v>0.42</v>
      </c>
      <c r="G5" s="12">
        <v>0.3</v>
      </c>
      <c r="H5" s="12">
        <v>0.33</v>
      </c>
      <c r="I5" s="12">
        <v>0.18</v>
      </c>
      <c r="J5" s="12">
        <v>0.34</v>
      </c>
      <c r="K5" s="87">
        <v>0.39</v>
      </c>
      <c r="L5" s="12">
        <v>0.19</v>
      </c>
      <c r="M5" s="12">
        <v>0.18</v>
      </c>
      <c r="N5" s="12">
        <v>0.28000000000000003</v>
      </c>
      <c r="O5" s="12">
        <v>0.24</v>
      </c>
      <c r="P5" s="12">
        <v>0.14000000000000001</v>
      </c>
      <c r="Q5" s="12">
        <v>0.38</v>
      </c>
      <c r="R5" s="12">
        <v>0.15</v>
      </c>
      <c r="S5" s="13">
        <v>0.28000000000000003</v>
      </c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11.25" customHeight="1" x14ac:dyDescent="0.25">
      <c r="A6" s="317"/>
      <c r="B6" s="116" t="s">
        <v>10</v>
      </c>
      <c r="C6" s="67">
        <v>0.32</v>
      </c>
      <c r="D6" s="12">
        <v>0.47</v>
      </c>
      <c r="E6" s="12">
        <v>0.38</v>
      </c>
      <c r="F6" s="12">
        <v>0.19</v>
      </c>
      <c r="G6" s="12">
        <v>0.25</v>
      </c>
      <c r="H6" s="12">
        <v>0.28000000000000003</v>
      </c>
      <c r="I6" s="12">
        <v>0.3</v>
      </c>
      <c r="J6" s="12">
        <v>0.34</v>
      </c>
      <c r="K6" s="87">
        <v>0.3</v>
      </c>
      <c r="L6" s="12">
        <v>0.33</v>
      </c>
      <c r="M6" s="12">
        <v>0.48</v>
      </c>
      <c r="N6" s="12">
        <v>0.28999999999999998</v>
      </c>
      <c r="O6" s="12">
        <v>0.32</v>
      </c>
      <c r="P6" s="12">
        <v>0.5</v>
      </c>
      <c r="Q6" s="12">
        <v>0.23</v>
      </c>
      <c r="R6" s="12">
        <v>0.33</v>
      </c>
      <c r="S6" s="13">
        <v>0.24</v>
      </c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1.25" hidden="1" customHeight="1" x14ac:dyDescent="0.25">
      <c r="A7" s="317"/>
      <c r="B7" s="34" t="s">
        <v>16</v>
      </c>
      <c r="C7" s="67">
        <v>0.223</v>
      </c>
      <c r="D7" s="12"/>
      <c r="E7" s="12"/>
      <c r="F7" s="12"/>
      <c r="G7" s="12"/>
      <c r="H7" s="12"/>
      <c r="I7" s="12"/>
      <c r="J7" s="12"/>
      <c r="K7" s="87"/>
      <c r="L7" s="12"/>
      <c r="M7" s="12"/>
      <c r="N7" s="12"/>
      <c r="O7" s="12"/>
      <c r="P7" s="12"/>
      <c r="Q7" s="12"/>
      <c r="R7" s="12"/>
      <c r="S7" s="13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1.25" hidden="1" customHeight="1" x14ac:dyDescent="0.25">
      <c r="A8" s="318"/>
      <c r="B8" s="34" t="s">
        <v>128</v>
      </c>
      <c r="C8" s="67">
        <v>4.9000000000000002E-2</v>
      </c>
      <c r="D8" s="12"/>
      <c r="E8" s="12"/>
      <c r="F8" s="12"/>
      <c r="G8" s="12"/>
      <c r="H8" s="12"/>
      <c r="I8" s="12"/>
      <c r="J8" s="12"/>
      <c r="K8" s="87"/>
      <c r="L8" s="12"/>
      <c r="M8" s="12"/>
      <c r="N8" s="12"/>
      <c r="O8" s="12"/>
      <c r="P8" s="12"/>
      <c r="Q8" s="12"/>
      <c r="R8" s="12"/>
      <c r="S8" s="13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s="7" customFormat="1" ht="6" customHeight="1" x14ac:dyDescent="0.25">
      <c r="A9" s="103"/>
      <c r="B9" s="33"/>
      <c r="C9" s="62"/>
      <c r="D9" s="17"/>
      <c r="E9" s="17"/>
      <c r="F9" s="17"/>
      <c r="G9" s="17"/>
      <c r="H9" s="17"/>
      <c r="I9" s="17"/>
      <c r="J9" s="17"/>
      <c r="K9" s="56"/>
      <c r="L9" s="17"/>
      <c r="M9" s="17"/>
      <c r="N9" s="17"/>
      <c r="O9" s="17"/>
      <c r="P9" s="17"/>
      <c r="Q9" s="17"/>
      <c r="R9" s="17"/>
      <c r="S9" s="23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1.25" customHeight="1" x14ac:dyDescent="0.25">
      <c r="A10" s="332" t="s">
        <v>188</v>
      </c>
      <c r="B10" s="34" t="s">
        <v>26</v>
      </c>
      <c r="C10" s="11">
        <v>0.28000000000000003</v>
      </c>
      <c r="D10" s="12">
        <v>0.24</v>
      </c>
      <c r="E10" s="12">
        <v>0.22</v>
      </c>
      <c r="F10" s="12">
        <v>0.38</v>
      </c>
      <c r="G10" s="12">
        <v>0.38</v>
      </c>
      <c r="H10" s="12">
        <v>0.25</v>
      </c>
      <c r="I10" s="12">
        <v>0.42</v>
      </c>
      <c r="J10" s="12">
        <v>0.32</v>
      </c>
      <c r="K10" s="87">
        <v>0.3</v>
      </c>
      <c r="L10" s="12">
        <v>0.16</v>
      </c>
      <c r="M10" s="12">
        <v>0.21</v>
      </c>
      <c r="N10" s="12">
        <v>0.28000000000000003</v>
      </c>
      <c r="O10" s="12">
        <v>0.2</v>
      </c>
      <c r="P10" s="12">
        <v>0.17</v>
      </c>
      <c r="Q10" s="12">
        <v>0.42</v>
      </c>
      <c r="R10" s="12">
        <v>0.15</v>
      </c>
      <c r="S10" s="13">
        <v>0.38</v>
      </c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1.25" customHeight="1" x14ac:dyDescent="0.25">
      <c r="A11" s="318"/>
      <c r="B11" s="34" t="s">
        <v>29</v>
      </c>
      <c r="C11" s="11">
        <v>0.52</v>
      </c>
      <c r="D11" s="12">
        <v>0.63</v>
      </c>
      <c r="E11" s="12">
        <v>0.52</v>
      </c>
      <c r="F11" s="12">
        <v>0.72</v>
      </c>
      <c r="G11" s="12">
        <v>0.48</v>
      </c>
      <c r="H11" s="12">
        <v>0.44</v>
      </c>
      <c r="I11" s="12">
        <v>0.39</v>
      </c>
      <c r="J11" s="12">
        <v>0.59</v>
      </c>
      <c r="K11" s="87">
        <v>0.83</v>
      </c>
      <c r="L11" s="12">
        <v>0.38</v>
      </c>
      <c r="M11" s="12">
        <v>0.7</v>
      </c>
      <c r="N11" s="12">
        <v>0.61</v>
      </c>
      <c r="O11" s="12">
        <v>0.48</v>
      </c>
      <c r="P11" s="12">
        <v>0.59</v>
      </c>
      <c r="Q11" s="12">
        <v>0.88</v>
      </c>
      <c r="R11" s="12">
        <v>0.33</v>
      </c>
      <c r="S11" s="13">
        <v>0.51</v>
      </c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s="7" customFormat="1" ht="6" customHeight="1" x14ac:dyDescent="0.25">
      <c r="A12" s="104"/>
      <c r="B12" s="33"/>
      <c r="C12" s="62"/>
      <c r="D12" s="17"/>
      <c r="F12" s="17"/>
      <c r="G12" s="17"/>
      <c r="I12" s="17"/>
      <c r="K12" s="56"/>
      <c r="L12" s="17"/>
      <c r="M12" s="17"/>
      <c r="N12" s="17"/>
      <c r="O12" s="17"/>
      <c r="P12" s="17"/>
      <c r="Q12" s="17"/>
      <c r="R12" s="17"/>
      <c r="S12" s="8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s="40" customFormat="1" ht="11.25" customHeight="1" x14ac:dyDescent="0.25">
      <c r="A13" s="332" t="s">
        <v>182</v>
      </c>
      <c r="B13" s="34" t="s">
        <v>183</v>
      </c>
      <c r="C13" s="67">
        <v>0.38</v>
      </c>
      <c r="D13" s="12">
        <v>0.45</v>
      </c>
      <c r="E13" s="22">
        <v>0.42</v>
      </c>
      <c r="F13" s="22">
        <v>0.5</v>
      </c>
      <c r="G13" s="22">
        <v>0.35</v>
      </c>
      <c r="H13" s="120">
        <v>0.38</v>
      </c>
      <c r="I13" s="22">
        <v>0.38</v>
      </c>
      <c r="J13" s="22">
        <v>0.33</v>
      </c>
      <c r="K13" s="55">
        <v>0.65</v>
      </c>
      <c r="L13" s="22">
        <v>0.19</v>
      </c>
      <c r="M13" s="22">
        <v>0.52</v>
      </c>
      <c r="N13" s="22">
        <v>0.44</v>
      </c>
      <c r="O13" s="22">
        <v>0.4</v>
      </c>
      <c r="P13" s="22">
        <v>0.48</v>
      </c>
      <c r="Q13" s="22">
        <v>0.38</v>
      </c>
      <c r="R13" s="22">
        <v>0.45</v>
      </c>
      <c r="S13" s="20">
        <v>0.34</v>
      </c>
    </row>
    <row r="14" spans="1:35" s="40" customFormat="1" ht="11.25" customHeight="1" x14ac:dyDescent="0.25">
      <c r="A14" s="317"/>
      <c r="B14" s="34" t="s">
        <v>184</v>
      </c>
      <c r="C14" s="67">
        <v>0.17</v>
      </c>
      <c r="D14" s="12">
        <v>0.08</v>
      </c>
      <c r="E14" s="12">
        <v>0.1</v>
      </c>
      <c r="F14" s="12">
        <v>0.31</v>
      </c>
      <c r="G14" s="12">
        <v>0.14000000000000001</v>
      </c>
      <c r="H14" s="12">
        <v>0.14000000000000001</v>
      </c>
      <c r="I14" s="12">
        <v>0.28000000000000003</v>
      </c>
      <c r="J14" s="12">
        <v>0.1</v>
      </c>
      <c r="K14" s="55">
        <v>0.35</v>
      </c>
      <c r="L14" s="12">
        <v>0.12</v>
      </c>
      <c r="M14" s="12">
        <v>0.36</v>
      </c>
      <c r="N14" s="12">
        <v>0.16</v>
      </c>
      <c r="O14" s="12">
        <v>0.2</v>
      </c>
      <c r="P14" s="12">
        <v>0.21</v>
      </c>
      <c r="Q14" s="12">
        <v>0.03</v>
      </c>
      <c r="R14" s="12">
        <v>0.14000000000000001</v>
      </c>
      <c r="S14" s="13">
        <v>0.15</v>
      </c>
    </row>
    <row r="15" spans="1:35" s="40" customFormat="1" ht="11.25" customHeight="1" x14ac:dyDescent="0.25">
      <c r="A15" s="317"/>
      <c r="B15" s="34" t="s">
        <v>185</v>
      </c>
      <c r="C15" s="67">
        <v>0.03</v>
      </c>
      <c r="D15" s="12">
        <v>0</v>
      </c>
      <c r="E15" s="12">
        <v>0</v>
      </c>
      <c r="F15" s="12">
        <v>0</v>
      </c>
      <c r="G15" s="12">
        <v>0.02</v>
      </c>
      <c r="H15" s="12">
        <v>7.0000000000000007E-2</v>
      </c>
      <c r="I15" s="12">
        <v>0</v>
      </c>
      <c r="J15" s="12">
        <v>0</v>
      </c>
      <c r="K15" s="55">
        <v>0</v>
      </c>
      <c r="L15" s="12">
        <v>0.11</v>
      </c>
      <c r="M15" s="12">
        <v>0.03</v>
      </c>
      <c r="N15" s="12">
        <v>0.01</v>
      </c>
      <c r="O15" s="12">
        <v>0</v>
      </c>
      <c r="P15" s="12">
        <v>0</v>
      </c>
      <c r="Q15" s="12">
        <v>0.08</v>
      </c>
      <c r="R15" s="12">
        <v>0.05</v>
      </c>
      <c r="S15" s="13">
        <v>0.03</v>
      </c>
    </row>
    <row r="16" spans="1:35" s="7" customFormat="1" ht="6" customHeight="1" x14ac:dyDescent="0.25">
      <c r="A16" s="104"/>
      <c r="B16" s="33"/>
      <c r="C16" s="62"/>
      <c r="D16" s="17"/>
      <c r="E16" s="17"/>
      <c r="F16" s="17"/>
      <c r="G16" s="17"/>
      <c r="H16" s="17"/>
      <c r="I16" s="17"/>
      <c r="J16" s="17"/>
      <c r="K16" s="56"/>
      <c r="L16" s="17"/>
      <c r="M16" s="17"/>
      <c r="N16" s="17"/>
      <c r="O16" s="17"/>
      <c r="P16" s="17"/>
      <c r="Q16" s="17"/>
      <c r="R16" s="17"/>
      <c r="S16" s="23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1.25" customHeight="1" x14ac:dyDescent="0.25">
      <c r="A17" s="317" t="s">
        <v>189</v>
      </c>
      <c r="B17" s="34" t="s">
        <v>109</v>
      </c>
      <c r="C17" s="85">
        <v>0.33</v>
      </c>
      <c r="D17" s="12">
        <v>0.08</v>
      </c>
      <c r="E17" s="12">
        <v>0.28999999999999998</v>
      </c>
      <c r="F17" s="12">
        <v>0.32</v>
      </c>
      <c r="G17" s="12">
        <v>0.35</v>
      </c>
      <c r="H17" s="12">
        <v>0.39</v>
      </c>
      <c r="I17" s="12">
        <v>0.16</v>
      </c>
      <c r="J17" s="12">
        <v>0.38</v>
      </c>
      <c r="K17" s="87">
        <v>0.22</v>
      </c>
      <c r="L17" s="12">
        <v>0.53</v>
      </c>
      <c r="M17" s="12">
        <v>0.16</v>
      </c>
      <c r="N17" s="12">
        <v>0.46</v>
      </c>
      <c r="O17" s="12">
        <v>0.24</v>
      </c>
      <c r="P17" s="12">
        <v>0.31</v>
      </c>
      <c r="Q17" s="12">
        <v>0.57999999999999996</v>
      </c>
      <c r="R17" s="12">
        <v>0.45</v>
      </c>
      <c r="S17" s="13">
        <v>0.16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1.25" customHeight="1" x14ac:dyDescent="0.25">
      <c r="A18" s="317"/>
      <c r="B18" s="34" t="s">
        <v>110</v>
      </c>
      <c r="C18" s="85">
        <v>0.6</v>
      </c>
      <c r="D18" s="12">
        <v>0.42</v>
      </c>
      <c r="E18" s="12">
        <v>0.56999999999999995</v>
      </c>
      <c r="F18" s="12">
        <v>0.76</v>
      </c>
      <c r="G18" s="12">
        <v>0.56999999999999995</v>
      </c>
      <c r="H18" s="12">
        <v>0.74</v>
      </c>
      <c r="I18" s="12">
        <v>0.47</v>
      </c>
      <c r="J18" s="12">
        <v>0.69</v>
      </c>
      <c r="K18" s="87">
        <v>0.56999999999999995</v>
      </c>
      <c r="L18" s="12">
        <v>0.6</v>
      </c>
      <c r="M18" s="12">
        <v>0.5</v>
      </c>
      <c r="N18" s="12">
        <v>0.7</v>
      </c>
      <c r="O18" s="12">
        <v>0.52</v>
      </c>
      <c r="P18" s="12">
        <v>0.52</v>
      </c>
      <c r="Q18" s="12">
        <v>0.73</v>
      </c>
      <c r="R18" s="12">
        <v>0.7</v>
      </c>
      <c r="S18" s="13">
        <v>0.65</v>
      </c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1.25" customHeight="1" x14ac:dyDescent="0.25">
      <c r="A19" s="317"/>
      <c r="B19" s="34" t="s">
        <v>108</v>
      </c>
      <c r="C19" s="85">
        <v>0.12</v>
      </c>
      <c r="D19" s="12">
        <v>0.13</v>
      </c>
      <c r="E19" s="12">
        <v>0.08</v>
      </c>
      <c r="F19" s="12">
        <v>0.16</v>
      </c>
      <c r="G19" s="12">
        <v>0.11</v>
      </c>
      <c r="H19" s="12">
        <v>0.1</v>
      </c>
      <c r="I19" s="12">
        <v>0.13</v>
      </c>
      <c r="J19" s="12">
        <v>0.18</v>
      </c>
      <c r="K19" s="87">
        <v>0.09</v>
      </c>
      <c r="L19" s="12">
        <v>0.09</v>
      </c>
      <c r="M19" s="12">
        <v>0.06</v>
      </c>
      <c r="N19" s="12">
        <v>0.16</v>
      </c>
      <c r="O19" s="12">
        <v>0.2</v>
      </c>
      <c r="P19" s="12">
        <v>0.14000000000000001</v>
      </c>
      <c r="Q19" s="12">
        <v>0.19</v>
      </c>
      <c r="R19" s="12">
        <v>0.03</v>
      </c>
      <c r="S19" s="13">
        <v>0.11</v>
      </c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1.25" customHeight="1" x14ac:dyDescent="0.25">
      <c r="A20" s="317"/>
      <c r="B20" s="34" t="s">
        <v>103</v>
      </c>
      <c r="C20" s="85">
        <v>0.44</v>
      </c>
      <c r="D20" s="12">
        <v>0.32</v>
      </c>
      <c r="E20" s="12">
        <v>0.53</v>
      </c>
      <c r="F20" s="12">
        <v>0.68</v>
      </c>
      <c r="G20" s="12">
        <v>0.41</v>
      </c>
      <c r="H20" s="12">
        <v>0.5</v>
      </c>
      <c r="I20" s="12">
        <v>0.34</v>
      </c>
      <c r="J20" s="12">
        <v>0.44</v>
      </c>
      <c r="K20" s="87">
        <v>0.39</v>
      </c>
      <c r="L20" s="12">
        <v>0.5</v>
      </c>
      <c r="M20" s="12">
        <v>0.44</v>
      </c>
      <c r="N20" s="12">
        <v>0.55000000000000004</v>
      </c>
      <c r="O20" s="12">
        <v>0.48</v>
      </c>
      <c r="P20" s="12">
        <v>0.59</v>
      </c>
      <c r="Q20" s="12">
        <v>0.77</v>
      </c>
      <c r="R20" s="12">
        <v>0.35</v>
      </c>
      <c r="S20" s="13">
        <v>0.37</v>
      </c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1.25" customHeight="1" x14ac:dyDescent="0.25">
      <c r="A21" s="317"/>
      <c r="B21" s="34" t="s">
        <v>105</v>
      </c>
      <c r="C21" s="85">
        <v>0.22</v>
      </c>
      <c r="D21" s="12">
        <v>0.13</v>
      </c>
      <c r="E21" s="12">
        <v>0.28000000000000003</v>
      </c>
      <c r="F21" s="12">
        <v>0.28000000000000003</v>
      </c>
      <c r="G21" s="12">
        <v>0.23</v>
      </c>
      <c r="H21" s="12">
        <v>0.1</v>
      </c>
      <c r="I21" s="12">
        <v>0.19</v>
      </c>
      <c r="J21" s="12">
        <v>0.2</v>
      </c>
      <c r="K21" s="87">
        <v>0.17</v>
      </c>
      <c r="L21" s="12">
        <v>0.22</v>
      </c>
      <c r="M21" s="12">
        <v>0.09</v>
      </c>
      <c r="N21" s="12">
        <v>0.35</v>
      </c>
      <c r="O21" s="12">
        <v>0.2</v>
      </c>
      <c r="P21" s="12">
        <v>0.38</v>
      </c>
      <c r="Q21" s="12">
        <v>0.27</v>
      </c>
      <c r="R21" s="12">
        <v>0.14000000000000001</v>
      </c>
      <c r="S21" s="13">
        <v>0.15</v>
      </c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1.25" customHeight="1" x14ac:dyDescent="0.25">
      <c r="A22" s="317"/>
      <c r="B22" s="34" t="s">
        <v>106</v>
      </c>
      <c r="C22" s="85">
        <v>0.32</v>
      </c>
      <c r="D22" s="12">
        <v>0.18</v>
      </c>
      <c r="E22" s="12">
        <v>0.43</v>
      </c>
      <c r="F22" s="12">
        <v>0.48</v>
      </c>
      <c r="G22" s="12">
        <v>0.39</v>
      </c>
      <c r="H22" s="12">
        <v>0.23</v>
      </c>
      <c r="I22" s="12">
        <v>0.09</v>
      </c>
      <c r="J22" s="12">
        <v>0.18</v>
      </c>
      <c r="K22" s="87">
        <v>0.3</v>
      </c>
      <c r="L22" s="12">
        <v>0.4</v>
      </c>
      <c r="M22" s="12">
        <v>0.19</v>
      </c>
      <c r="N22" s="12">
        <v>0.38</v>
      </c>
      <c r="O22" s="12">
        <v>0.32</v>
      </c>
      <c r="P22" s="12">
        <v>0.34</v>
      </c>
      <c r="Q22" s="12">
        <v>0.5</v>
      </c>
      <c r="R22" s="12">
        <v>0.35</v>
      </c>
      <c r="S22" s="13">
        <v>0.21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1.25" customHeight="1" x14ac:dyDescent="0.25">
      <c r="A23" s="317"/>
      <c r="B23" s="34" t="s">
        <v>104</v>
      </c>
      <c r="C23" s="85">
        <v>0.18</v>
      </c>
      <c r="D23" s="12">
        <v>0.11</v>
      </c>
      <c r="E23" s="12">
        <v>0.14000000000000001</v>
      </c>
      <c r="F23" s="12">
        <v>0.36</v>
      </c>
      <c r="G23" s="12">
        <v>0.27</v>
      </c>
      <c r="H23" s="12">
        <v>0.13</v>
      </c>
      <c r="I23" s="12">
        <v>0.13</v>
      </c>
      <c r="J23" s="12">
        <v>0.13</v>
      </c>
      <c r="K23" s="87">
        <v>0.13</v>
      </c>
      <c r="L23" s="12">
        <v>0.12</v>
      </c>
      <c r="M23" s="12">
        <v>0.16</v>
      </c>
      <c r="N23" s="12">
        <v>0.28999999999999998</v>
      </c>
      <c r="O23" s="12">
        <v>0.16</v>
      </c>
      <c r="P23" s="12">
        <v>0.14000000000000001</v>
      </c>
      <c r="Q23" s="12">
        <v>0.42</v>
      </c>
      <c r="R23" s="12">
        <v>0.11</v>
      </c>
      <c r="S23" s="13">
        <v>0.09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s="7" customFormat="1" ht="6" customHeight="1" x14ac:dyDescent="0.25">
      <c r="A24" s="103"/>
      <c r="B24" s="33"/>
      <c r="C24" s="84"/>
      <c r="D24" s="17"/>
      <c r="E24" s="17"/>
      <c r="F24" s="17"/>
      <c r="G24" s="17"/>
      <c r="H24" s="17"/>
      <c r="I24" s="17"/>
      <c r="J24" s="17"/>
      <c r="K24" s="56"/>
      <c r="L24" s="17"/>
      <c r="M24" s="17"/>
      <c r="N24" s="17"/>
      <c r="O24" s="17"/>
      <c r="P24" s="17"/>
      <c r="Q24" s="17"/>
      <c r="R24" s="17"/>
      <c r="S24" s="23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2.75" customHeight="1" x14ac:dyDescent="0.25">
      <c r="A25" s="317" t="s">
        <v>125</v>
      </c>
      <c r="B25" s="34" t="s">
        <v>172</v>
      </c>
      <c r="C25" s="85">
        <f>457/1572</f>
        <v>0.2907124681933842</v>
      </c>
      <c r="D25" s="12">
        <v>0.38</v>
      </c>
      <c r="E25" s="12">
        <v>0.31</v>
      </c>
      <c r="F25" s="12">
        <v>0.24</v>
      </c>
      <c r="G25" s="12">
        <v>0.32</v>
      </c>
      <c r="H25" s="12">
        <v>0.28000000000000003</v>
      </c>
      <c r="I25" s="12">
        <v>0.42</v>
      </c>
      <c r="J25" s="12">
        <v>0.37</v>
      </c>
      <c r="K25" s="87">
        <v>0.6</v>
      </c>
      <c r="L25" s="12">
        <v>0.16</v>
      </c>
      <c r="M25" s="12">
        <v>0.38</v>
      </c>
      <c r="N25" s="12">
        <v>0.28000000000000003</v>
      </c>
      <c r="O25" s="12">
        <v>0.12</v>
      </c>
      <c r="P25" s="12">
        <v>0.28000000000000003</v>
      </c>
      <c r="Q25" s="12">
        <v>0.38</v>
      </c>
      <c r="R25" s="12">
        <v>0.3</v>
      </c>
      <c r="S25" s="13">
        <v>0.32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2.75" customHeight="1" x14ac:dyDescent="0.25">
      <c r="A26" s="317"/>
      <c r="B26" s="34" t="s">
        <v>126</v>
      </c>
      <c r="C26" s="85">
        <f>205/1572</f>
        <v>0.13040712468193386</v>
      </c>
      <c r="D26" s="12">
        <v>0.32</v>
      </c>
      <c r="E26" s="12">
        <v>0.04</v>
      </c>
      <c r="F26" s="12">
        <v>0.08</v>
      </c>
      <c r="G26" s="12">
        <v>0.1</v>
      </c>
      <c r="H26" s="12">
        <v>0.1</v>
      </c>
      <c r="I26" s="12">
        <v>0.21</v>
      </c>
      <c r="J26" s="12">
        <v>0.1</v>
      </c>
      <c r="K26" s="87">
        <v>0.05</v>
      </c>
      <c r="L26" s="12">
        <v>0.1</v>
      </c>
      <c r="M26" s="12">
        <v>0.03</v>
      </c>
      <c r="N26" s="12">
        <v>0.19</v>
      </c>
      <c r="O26" s="12">
        <v>0.16</v>
      </c>
      <c r="P26" s="12">
        <v>0.03</v>
      </c>
      <c r="Q26" s="12">
        <v>0.19</v>
      </c>
      <c r="R26" s="12">
        <v>0.14000000000000001</v>
      </c>
      <c r="S26" s="13">
        <v>0.17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2.75" customHeight="1" x14ac:dyDescent="0.25">
      <c r="A27" s="317"/>
      <c r="B27" s="34" t="s">
        <v>149</v>
      </c>
      <c r="C27" s="85">
        <f>591/1572</f>
        <v>0.37595419847328243</v>
      </c>
      <c r="D27" s="12">
        <v>0.14000000000000001</v>
      </c>
      <c r="E27" s="12">
        <v>0.38</v>
      </c>
      <c r="F27" s="12">
        <v>0.56000000000000005</v>
      </c>
      <c r="G27" s="12">
        <v>0.32</v>
      </c>
      <c r="H27" s="12">
        <v>0.45</v>
      </c>
      <c r="I27" s="12">
        <v>0.21</v>
      </c>
      <c r="J27" s="12">
        <v>0.32</v>
      </c>
      <c r="K27" s="87">
        <v>0.1</v>
      </c>
      <c r="L27" s="12">
        <v>0.53</v>
      </c>
      <c r="M27" s="12">
        <v>0.47</v>
      </c>
      <c r="N27" s="12">
        <v>0.3</v>
      </c>
      <c r="O27" s="12">
        <v>0.48</v>
      </c>
      <c r="P27" s="12">
        <v>0.31</v>
      </c>
      <c r="Q27" s="12">
        <v>0.38</v>
      </c>
      <c r="R27" s="12">
        <v>0.38</v>
      </c>
      <c r="S27" s="13">
        <v>0.35</v>
      </c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2.75" customHeight="1" x14ac:dyDescent="0.25">
      <c r="A28" s="318"/>
      <c r="B28" s="41" t="s">
        <v>5</v>
      </c>
      <c r="C28" s="89">
        <f>321/1572</f>
        <v>0.20419847328244276</v>
      </c>
      <c r="D28" s="18">
        <v>0.16</v>
      </c>
      <c r="E28" s="18">
        <v>0.28000000000000003</v>
      </c>
      <c r="F28" s="18">
        <v>0.12</v>
      </c>
      <c r="G28" s="18">
        <v>0.26</v>
      </c>
      <c r="H28" s="18">
        <v>0.17</v>
      </c>
      <c r="I28" s="18">
        <v>0.15</v>
      </c>
      <c r="J28" s="18">
        <v>0.22</v>
      </c>
      <c r="K28" s="90">
        <v>0.25</v>
      </c>
      <c r="L28" s="18">
        <v>0.21</v>
      </c>
      <c r="M28" s="18">
        <v>0.13</v>
      </c>
      <c r="N28" s="18">
        <v>0.23</v>
      </c>
      <c r="O28" s="18">
        <v>0.24</v>
      </c>
      <c r="P28" s="18">
        <v>0.38</v>
      </c>
      <c r="Q28" s="18">
        <v>0.04</v>
      </c>
      <c r="R28" s="18">
        <v>0.19</v>
      </c>
      <c r="S28" s="42">
        <v>0.17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x14ac:dyDescent="0.25">
      <c r="B29" s="32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1:35" x14ac:dyDescent="0.25">
      <c r="A30" s="330" t="s">
        <v>223</v>
      </c>
      <c r="B30" s="331"/>
      <c r="C30" s="117" t="s">
        <v>180</v>
      </c>
      <c r="D30" s="119" t="s">
        <v>205</v>
      </c>
      <c r="E30" s="119" t="s">
        <v>206</v>
      </c>
      <c r="F30" s="119" t="s">
        <v>207</v>
      </c>
      <c r="G30" s="119" t="s">
        <v>208</v>
      </c>
      <c r="H30" s="119" t="s">
        <v>209</v>
      </c>
      <c r="I30" s="119" t="s">
        <v>210</v>
      </c>
      <c r="J30" s="119" t="s">
        <v>211</v>
      </c>
      <c r="K30" s="119" t="s">
        <v>212</v>
      </c>
      <c r="L30" s="119" t="s">
        <v>217</v>
      </c>
      <c r="M30" s="119" t="s">
        <v>213</v>
      </c>
      <c r="N30" s="119" t="s">
        <v>214</v>
      </c>
      <c r="O30" s="119" t="s">
        <v>215</v>
      </c>
      <c r="P30" s="119" t="s">
        <v>216</v>
      </c>
      <c r="Q30" s="119" t="s">
        <v>218</v>
      </c>
      <c r="R30" s="123" t="s">
        <v>219</v>
      </c>
    </row>
    <row r="31" spans="1:35" x14ac:dyDescent="0.25">
      <c r="A31" s="322" t="s">
        <v>222</v>
      </c>
      <c r="B31" s="323"/>
      <c r="C31" s="115">
        <v>2005</v>
      </c>
      <c r="D31" s="39">
        <v>22</v>
      </c>
      <c r="E31" s="39">
        <v>24</v>
      </c>
      <c r="F31" s="39">
        <v>68</v>
      </c>
      <c r="G31" s="39">
        <v>23</v>
      </c>
      <c r="H31" s="39">
        <v>40</v>
      </c>
      <c r="I31" s="39">
        <v>21</v>
      </c>
      <c r="J31" s="39">
        <v>55</v>
      </c>
      <c r="K31" s="39">
        <v>35</v>
      </c>
      <c r="L31" s="39">
        <v>21</v>
      </c>
      <c r="M31" s="39">
        <v>25</v>
      </c>
      <c r="N31" s="39">
        <v>153</v>
      </c>
      <c r="O31" s="39">
        <v>26</v>
      </c>
      <c r="P31" s="39">
        <v>49</v>
      </c>
      <c r="Q31" s="39">
        <v>82</v>
      </c>
      <c r="R31" s="6">
        <v>36</v>
      </c>
    </row>
    <row r="32" spans="1:35" ht="5.25" customHeight="1" x14ac:dyDescent="0.25">
      <c r="A32" s="94"/>
      <c r="B32" s="33"/>
      <c r="C32" s="6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1:18" s="86" customFormat="1" x14ac:dyDescent="0.25">
      <c r="A33" s="317" t="s">
        <v>13</v>
      </c>
      <c r="B33" s="34" t="s">
        <v>186</v>
      </c>
      <c r="C33" s="67">
        <v>0.41</v>
      </c>
      <c r="D33" s="12">
        <v>0.36</v>
      </c>
      <c r="E33" s="12">
        <v>0.54</v>
      </c>
      <c r="F33" s="12">
        <v>0.35</v>
      </c>
      <c r="G33" s="12">
        <v>0.43</v>
      </c>
      <c r="H33" s="12">
        <v>0.53</v>
      </c>
      <c r="I33" s="12">
        <v>0.52</v>
      </c>
      <c r="J33" s="12">
        <v>0.42</v>
      </c>
      <c r="K33" s="12">
        <v>0.71</v>
      </c>
      <c r="L33" s="12">
        <v>0.22</v>
      </c>
      <c r="M33" s="12">
        <v>0.4</v>
      </c>
      <c r="N33" s="12">
        <v>0.4</v>
      </c>
      <c r="O33" s="12">
        <v>0.42</v>
      </c>
      <c r="P33" s="12">
        <v>0.35</v>
      </c>
      <c r="Q33" s="12">
        <v>0.43</v>
      </c>
      <c r="R33" s="13">
        <v>0.33</v>
      </c>
    </row>
    <row r="34" spans="1:18" s="86" customFormat="1" x14ac:dyDescent="0.25">
      <c r="A34" s="317"/>
      <c r="B34" s="37" t="s">
        <v>187</v>
      </c>
      <c r="C34" s="67">
        <v>0.27</v>
      </c>
      <c r="D34" s="12">
        <v>0.27</v>
      </c>
      <c r="E34" s="12">
        <v>0.17</v>
      </c>
      <c r="F34" s="12">
        <v>0.31</v>
      </c>
      <c r="G34" s="12">
        <v>0.3</v>
      </c>
      <c r="H34" s="12">
        <v>0.28000000000000003</v>
      </c>
      <c r="I34" s="12">
        <v>0.14000000000000001</v>
      </c>
      <c r="J34" s="12">
        <v>0.36</v>
      </c>
      <c r="K34" s="12">
        <v>0.14000000000000001</v>
      </c>
      <c r="L34" s="12">
        <v>0.57999999999999996</v>
      </c>
      <c r="M34" s="12">
        <v>0.32</v>
      </c>
      <c r="N34" s="12">
        <v>0.27</v>
      </c>
      <c r="O34" s="12">
        <v>0.31</v>
      </c>
      <c r="P34" s="12">
        <v>0.31</v>
      </c>
      <c r="Q34" s="12">
        <v>0.28000000000000003</v>
      </c>
      <c r="R34" s="13">
        <v>0.47</v>
      </c>
    </row>
    <row r="35" spans="1:18" s="86" customFormat="1" x14ac:dyDescent="0.25">
      <c r="A35" s="317"/>
      <c r="B35" s="116" t="s">
        <v>10</v>
      </c>
      <c r="C35" s="67">
        <v>0.32</v>
      </c>
      <c r="D35" s="12">
        <v>0.36</v>
      </c>
      <c r="E35" s="12">
        <v>0.28999999999999998</v>
      </c>
      <c r="F35" s="12">
        <v>0.34</v>
      </c>
      <c r="G35" s="12">
        <v>0.26</v>
      </c>
      <c r="H35" s="12">
        <v>0.2</v>
      </c>
      <c r="I35" s="12">
        <v>0.33</v>
      </c>
      <c r="J35" s="12">
        <v>0.22</v>
      </c>
      <c r="K35" s="12">
        <v>0.14000000000000001</v>
      </c>
      <c r="L35" s="12">
        <v>0.19</v>
      </c>
      <c r="M35" s="12">
        <v>0.28000000000000003</v>
      </c>
      <c r="N35" s="12">
        <v>0.33</v>
      </c>
      <c r="O35" s="12">
        <v>0.27</v>
      </c>
      <c r="P35" s="12">
        <v>0.35</v>
      </c>
      <c r="Q35" s="12">
        <v>0.28999999999999998</v>
      </c>
      <c r="R35" s="13">
        <v>0.19</v>
      </c>
    </row>
    <row r="36" spans="1:18" s="86" customFormat="1" ht="5.25" customHeight="1" x14ac:dyDescent="0.25">
      <c r="A36" s="103"/>
      <c r="B36" s="33"/>
      <c r="C36" s="6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3"/>
    </row>
    <row r="37" spans="1:18" s="86" customFormat="1" x14ac:dyDescent="0.25">
      <c r="A37" s="332" t="s">
        <v>188</v>
      </c>
      <c r="B37" s="34" t="s">
        <v>26</v>
      </c>
      <c r="C37" s="11">
        <v>0.28000000000000003</v>
      </c>
      <c r="D37" s="12">
        <v>0.32</v>
      </c>
      <c r="E37" s="12">
        <v>0.08</v>
      </c>
      <c r="F37" s="12">
        <v>0.24</v>
      </c>
      <c r="G37" s="12">
        <v>0.09</v>
      </c>
      <c r="H37" s="12">
        <v>0.33</v>
      </c>
      <c r="I37" s="12">
        <v>0.48</v>
      </c>
      <c r="J37" s="12">
        <v>0.24</v>
      </c>
      <c r="K37" s="12">
        <v>0.11</v>
      </c>
      <c r="L37" s="12">
        <v>0.28999999999999998</v>
      </c>
      <c r="M37" s="12">
        <v>0.25</v>
      </c>
      <c r="N37" s="12">
        <v>0.23</v>
      </c>
      <c r="O37" s="12">
        <v>0.35</v>
      </c>
      <c r="P37" s="12">
        <v>0.27</v>
      </c>
      <c r="Q37" s="12">
        <v>0.28000000000000003</v>
      </c>
      <c r="R37" s="13">
        <v>0.11</v>
      </c>
    </row>
    <row r="38" spans="1:18" s="86" customFormat="1" x14ac:dyDescent="0.25">
      <c r="A38" s="318"/>
      <c r="B38" s="34" t="s">
        <v>29</v>
      </c>
      <c r="C38" s="11">
        <v>0.52</v>
      </c>
      <c r="D38" s="12">
        <v>0.82</v>
      </c>
      <c r="E38" s="12">
        <v>0.26</v>
      </c>
      <c r="F38" s="12">
        <v>0.51</v>
      </c>
      <c r="G38" s="12">
        <v>0.61</v>
      </c>
      <c r="H38" s="12">
        <v>0.53</v>
      </c>
      <c r="I38" s="12">
        <v>0.76</v>
      </c>
      <c r="J38" s="12">
        <v>0.53</v>
      </c>
      <c r="K38" s="12">
        <v>0.31</v>
      </c>
      <c r="L38" s="12">
        <v>0.76</v>
      </c>
      <c r="M38" s="12">
        <v>0.72</v>
      </c>
      <c r="N38" s="12">
        <v>0.46</v>
      </c>
      <c r="O38" s="12">
        <v>0.73</v>
      </c>
      <c r="P38" s="12">
        <v>0.6</v>
      </c>
      <c r="Q38" s="12">
        <v>0.61</v>
      </c>
      <c r="R38" s="13">
        <v>0.44</v>
      </c>
    </row>
    <row r="39" spans="1:18" s="86" customFormat="1" ht="5.25" customHeight="1" x14ac:dyDescent="0.25">
      <c r="A39" s="104"/>
      <c r="B39" s="33"/>
      <c r="C39" s="6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3"/>
    </row>
    <row r="40" spans="1:18" s="86" customFormat="1" x14ac:dyDescent="0.25">
      <c r="A40" s="332" t="s">
        <v>182</v>
      </c>
      <c r="B40" s="34" t="s">
        <v>183</v>
      </c>
      <c r="C40" s="67">
        <v>0.38</v>
      </c>
      <c r="D40" s="22">
        <v>0.45</v>
      </c>
      <c r="E40" s="22">
        <v>0.22</v>
      </c>
      <c r="F40" s="22">
        <v>0.25</v>
      </c>
      <c r="G40" s="22">
        <v>0.39</v>
      </c>
      <c r="H40" s="22">
        <v>0.38</v>
      </c>
      <c r="I40" s="22">
        <v>0.43</v>
      </c>
      <c r="J40" s="22">
        <v>0.48</v>
      </c>
      <c r="K40" s="22">
        <v>0.11</v>
      </c>
      <c r="L40" s="22">
        <v>0.56999999999999995</v>
      </c>
      <c r="M40" s="22">
        <v>0.52</v>
      </c>
      <c r="N40" s="22">
        <v>0.36</v>
      </c>
      <c r="O40" s="22">
        <v>0.65</v>
      </c>
      <c r="P40" s="22">
        <v>0.49</v>
      </c>
      <c r="Q40" s="22">
        <v>0.44</v>
      </c>
      <c r="R40" s="20">
        <v>0.31</v>
      </c>
    </row>
    <row r="41" spans="1:18" s="86" customFormat="1" x14ac:dyDescent="0.25">
      <c r="A41" s="317"/>
      <c r="B41" s="34" t="s">
        <v>184</v>
      </c>
      <c r="C41" s="67">
        <v>0.17</v>
      </c>
      <c r="D41" s="12">
        <v>0.18</v>
      </c>
      <c r="E41" s="12">
        <v>0.04</v>
      </c>
      <c r="F41" s="12">
        <v>0.13</v>
      </c>
      <c r="G41" s="12">
        <v>0.22</v>
      </c>
      <c r="H41" s="12">
        <v>0.2</v>
      </c>
      <c r="I41" s="12">
        <v>0.19</v>
      </c>
      <c r="J41" s="12">
        <v>0.11</v>
      </c>
      <c r="K41" s="12">
        <v>0.14000000000000001</v>
      </c>
      <c r="L41" s="12">
        <v>0.28999999999999998</v>
      </c>
      <c r="M41" s="12">
        <v>0.2</v>
      </c>
      <c r="N41" s="12">
        <v>0.19</v>
      </c>
      <c r="O41" s="12">
        <v>0.31</v>
      </c>
      <c r="P41" s="12">
        <v>0.24</v>
      </c>
      <c r="Q41" s="12">
        <v>0.16</v>
      </c>
      <c r="R41" s="13">
        <v>0.09</v>
      </c>
    </row>
    <row r="42" spans="1:18" s="86" customFormat="1" x14ac:dyDescent="0.25">
      <c r="A42" s="317"/>
      <c r="B42" s="34" t="s">
        <v>185</v>
      </c>
      <c r="C42" s="67">
        <v>0.03</v>
      </c>
      <c r="D42" s="12">
        <v>0</v>
      </c>
      <c r="E42" s="12">
        <v>0.04</v>
      </c>
      <c r="F42" s="12">
        <v>0.01</v>
      </c>
      <c r="G42" s="12">
        <v>0.04</v>
      </c>
      <c r="H42" s="12">
        <v>0.03</v>
      </c>
      <c r="I42" s="12">
        <v>0.1</v>
      </c>
      <c r="J42" s="12">
        <v>0</v>
      </c>
      <c r="K42" s="12">
        <v>0.03</v>
      </c>
      <c r="L42" s="12">
        <v>0</v>
      </c>
      <c r="M42" s="12">
        <v>0.04</v>
      </c>
      <c r="N42" s="12">
        <v>0.04</v>
      </c>
      <c r="O42" s="12">
        <v>0</v>
      </c>
      <c r="P42" s="12">
        <v>0</v>
      </c>
      <c r="Q42" s="12">
        <v>0.01</v>
      </c>
      <c r="R42" s="13">
        <v>0.14000000000000001</v>
      </c>
    </row>
    <row r="43" spans="1:18" s="86" customFormat="1" ht="5.25" customHeight="1" x14ac:dyDescent="0.25">
      <c r="A43" s="104"/>
      <c r="B43" s="33"/>
      <c r="C43" s="6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3"/>
    </row>
    <row r="44" spans="1:18" s="86" customFormat="1" x14ac:dyDescent="0.25">
      <c r="A44" s="317" t="s">
        <v>189</v>
      </c>
      <c r="B44" s="34" t="s">
        <v>109</v>
      </c>
      <c r="C44" s="85">
        <v>0.33</v>
      </c>
      <c r="D44" s="124">
        <v>0.32</v>
      </c>
      <c r="E44" s="12">
        <v>0.39</v>
      </c>
      <c r="F44" s="12">
        <v>0.28000000000000003</v>
      </c>
      <c r="G44" s="12">
        <v>0.26</v>
      </c>
      <c r="H44" s="12">
        <v>0.38</v>
      </c>
      <c r="I44" s="12">
        <v>0.1</v>
      </c>
      <c r="J44" s="12">
        <v>0.39</v>
      </c>
      <c r="K44" s="12">
        <v>0.49</v>
      </c>
      <c r="L44" s="12">
        <v>0.14000000000000001</v>
      </c>
      <c r="M44" s="12">
        <v>0.21</v>
      </c>
      <c r="N44" s="12">
        <v>0.32</v>
      </c>
      <c r="O44" s="12">
        <v>0.35</v>
      </c>
      <c r="P44" s="12">
        <v>0.44</v>
      </c>
      <c r="Q44" s="12">
        <v>0.46</v>
      </c>
      <c r="R44" s="13">
        <v>0.46</v>
      </c>
    </row>
    <row r="45" spans="1:18" s="86" customFormat="1" x14ac:dyDescent="0.25">
      <c r="A45" s="317"/>
      <c r="B45" s="34" t="s">
        <v>110</v>
      </c>
      <c r="C45" s="85">
        <v>0.6</v>
      </c>
      <c r="D45" s="12">
        <v>0.59</v>
      </c>
      <c r="E45" s="12">
        <v>0.65</v>
      </c>
      <c r="F45" s="12">
        <v>0.46</v>
      </c>
      <c r="G45" s="12">
        <v>0.65</v>
      </c>
      <c r="H45" s="12">
        <v>0.62</v>
      </c>
      <c r="I45" s="12">
        <v>0.48</v>
      </c>
      <c r="J45" s="12">
        <v>0.69</v>
      </c>
      <c r="K45" s="12">
        <v>0.63</v>
      </c>
      <c r="L45" s="12">
        <v>0.48</v>
      </c>
      <c r="M45" s="12">
        <v>0.71</v>
      </c>
      <c r="N45" s="12">
        <v>0.55000000000000004</v>
      </c>
      <c r="O45" s="12">
        <v>0.73</v>
      </c>
      <c r="P45" s="12">
        <v>0.77</v>
      </c>
      <c r="Q45" s="12">
        <v>0.7</v>
      </c>
      <c r="R45" s="13">
        <v>0.77</v>
      </c>
    </row>
    <row r="46" spans="1:18" s="86" customFormat="1" x14ac:dyDescent="0.25">
      <c r="A46" s="317"/>
      <c r="B46" s="34" t="s">
        <v>108</v>
      </c>
      <c r="C46" s="85">
        <v>0.12</v>
      </c>
      <c r="D46" s="12">
        <v>0.09</v>
      </c>
      <c r="E46" s="12">
        <v>0.09</v>
      </c>
      <c r="F46" s="12">
        <v>0.12</v>
      </c>
      <c r="G46" s="12">
        <v>0.13</v>
      </c>
      <c r="H46" s="12">
        <v>0.03</v>
      </c>
      <c r="I46" s="12">
        <v>0.05</v>
      </c>
      <c r="J46" s="12">
        <v>0.11</v>
      </c>
      <c r="K46" s="12">
        <v>0.09</v>
      </c>
      <c r="L46" s="12">
        <v>0.14000000000000001</v>
      </c>
      <c r="M46" s="12">
        <v>0.17</v>
      </c>
      <c r="N46" s="12">
        <v>0.15</v>
      </c>
      <c r="O46" s="12">
        <v>0.19</v>
      </c>
      <c r="P46" s="12">
        <v>0.13</v>
      </c>
      <c r="Q46" s="12">
        <v>0.16</v>
      </c>
      <c r="R46" s="13">
        <v>0.06</v>
      </c>
    </row>
    <row r="47" spans="1:18" s="86" customFormat="1" x14ac:dyDescent="0.25">
      <c r="A47" s="317"/>
      <c r="B47" s="34" t="s">
        <v>103</v>
      </c>
      <c r="C47" s="85">
        <v>0.44</v>
      </c>
      <c r="D47" s="12">
        <v>0.36</v>
      </c>
      <c r="E47" s="12">
        <v>0.26</v>
      </c>
      <c r="F47" s="12">
        <v>0.41</v>
      </c>
      <c r="G47" s="12">
        <v>0.39</v>
      </c>
      <c r="H47" s="12">
        <v>0.49</v>
      </c>
      <c r="I47" s="12">
        <v>0.56999999999999995</v>
      </c>
      <c r="J47" s="12">
        <v>0.5</v>
      </c>
      <c r="K47" s="12">
        <v>0.49</v>
      </c>
      <c r="L47" s="12">
        <v>0.43</v>
      </c>
      <c r="M47" s="12">
        <v>0.42</v>
      </c>
      <c r="N47" s="12">
        <v>0.42</v>
      </c>
      <c r="O47" s="12">
        <v>0.57999999999999996</v>
      </c>
      <c r="P47" s="12">
        <v>0.52</v>
      </c>
      <c r="Q47" s="12">
        <v>0.55000000000000004</v>
      </c>
      <c r="R47" s="13">
        <v>0.28999999999999998</v>
      </c>
    </row>
    <row r="48" spans="1:18" s="86" customFormat="1" x14ac:dyDescent="0.25">
      <c r="A48" s="317"/>
      <c r="B48" s="34" t="s">
        <v>105</v>
      </c>
      <c r="C48" s="85">
        <v>0.22</v>
      </c>
      <c r="D48" s="12">
        <v>0.23</v>
      </c>
      <c r="E48" s="12">
        <v>0.22</v>
      </c>
      <c r="F48" s="12">
        <v>0.23</v>
      </c>
      <c r="G48" s="12">
        <v>0.04</v>
      </c>
      <c r="H48" s="12">
        <v>0.15</v>
      </c>
      <c r="I48" s="12">
        <v>0.33</v>
      </c>
      <c r="J48" s="12">
        <v>0.24</v>
      </c>
      <c r="K48" s="12">
        <v>0.23</v>
      </c>
      <c r="L48" s="12">
        <v>0.19</v>
      </c>
      <c r="M48" s="12">
        <v>0.38</v>
      </c>
      <c r="N48" s="12">
        <v>0.21</v>
      </c>
      <c r="O48" s="12">
        <v>0.35</v>
      </c>
      <c r="P48" s="12">
        <v>0.23</v>
      </c>
      <c r="Q48" s="12">
        <v>0.35</v>
      </c>
      <c r="R48" s="13">
        <v>0.17</v>
      </c>
    </row>
    <row r="49" spans="1:18" s="86" customFormat="1" x14ac:dyDescent="0.25">
      <c r="A49" s="317"/>
      <c r="B49" s="34" t="s">
        <v>106</v>
      </c>
      <c r="C49" s="85">
        <v>0.32</v>
      </c>
      <c r="D49" s="12">
        <v>0.27</v>
      </c>
      <c r="E49" s="12">
        <v>0.3</v>
      </c>
      <c r="F49" s="12">
        <v>0.4</v>
      </c>
      <c r="G49" s="12">
        <v>0.17</v>
      </c>
      <c r="H49" s="12">
        <v>0.33</v>
      </c>
      <c r="I49" s="12">
        <v>0.28999999999999998</v>
      </c>
      <c r="J49" s="12">
        <v>0.43</v>
      </c>
      <c r="K49" s="12">
        <v>0.34</v>
      </c>
      <c r="L49" s="12">
        <v>0.38</v>
      </c>
      <c r="M49" s="12">
        <v>0.33</v>
      </c>
      <c r="N49" s="12">
        <v>0.32</v>
      </c>
      <c r="O49" s="12">
        <v>0.46</v>
      </c>
      <c r="P49" s="12">
        <v>0.38</v>
      </c>
      <c r="Q49" s="12">
        <v>0.38</v>
      </c>
      <c r="R49" s="13">
        <v>0.34</v>
      </c>
    </row>
    <row r="50" spans="1:18" s="86" customFormat="1" x14ac:dyDescent="0.25">
      <c r="A50" s="317"/>
      <c r="B50" s="34" t="s">
        <v>104</v>
      </c>
      <c r="C50" s="85">
        <v>0.18</v>
      </c>
      <c r="D50" s="12">
        <v>0.23</v>
      </c>
      <c r="E50" s="12">
        <v>0.17</v>
      </c>
      <c r="F50" s="12">
        <v>0.11</v>
      </c>
      <c r="G50" s="12">
        <v>0.13</v>
      </c>
      <c r="H50" s="12">
        <v>0.18</v>
      </c>
      <c r="I50" s="12">
        <v>0.14000000000000001</v>
      </c>
      <c r="J50" s="12">
        <v>0.13</v>
      </c>
      <c r="K50" s="12">
        <v>0.14000000000000001</v>
      </c>
      <c r="L50" s="12">
        <v>0.14000000000000001</v>
      </c>
      <c r="M50" s="12">
        <v>0.13</v>
      </c>
      <c r="N50" s="12">
        <v>0.17</v>
      </c>
      <c r="O50" s="12">
        <v>0.12</v>
      </c>
      <c r="P50" s="12">
        <v>0.28999999999999998</v>
      </c>
      <c r="Q50" s="12">
        <v>0.28999999999999998</v>
      </c>
      <c r="R50" s="13">
        <v>0.09</v>
      </c>
    </row>
    <row r="51" spans="1:18" s="86" customFormat="1" ht="5.25" customHeight="1" x14ac:dyDescent="0.25">
      <c r="A51" s="103"/>
      <c r="B51" s="33"/>
      <c r="C51" s="84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23"/>
    </row>
    <row r="52" spans="1:18" s="86" customFormat="1" x14ac:dyDescent="0.25">
      <c r="A52" s="317" t="s">
        <v>125</v>
      </c>
      <c r="B52" s="34" t="s">
        <v>172</v>
      </c>
      <c r="C52" s="85">
        <f>457/1572</f>
        <v>0.2907124681933842</v>
      </c>
      <c r="D52" s="12">
        <v>0.5</v>
      </c>
      <c r="E52" s="12">
        <v>0.23</v>
      </c>
      <c r="F52" s="12">
        <v>0.28000000000000003</v>
      </c>
      <c r="G52" s="12">
        <v>0.3</v>
      </c>
      <c r="H52" s="12">
        <v>0.21</v>
      </c>
      <c r="I52" s="12">
        <v>0.26</v>
      </c>
      <c r="J52" s="12">
        <v>0.26</v>
      </c>
      <c r="K52" s="12">
        <v>0.09</v>
      </c>
      <c r="L52" s="12">
        <v>0.45</v>
      </c>
      <c r="M52" s="12">
        <v>0.36</v>
      </c>
      <c r="N52" s="12">
        <v>0.28000000000000003</v>
      </c>
      <c r="O52" s="12">
        <v>0.35</v>
      </c>
      <c r="P52" s="12">
        <v>0.24</v>
      </c>
      <c r="Q52" s="12">
        <v>0.28000000000000003</v>
      </c>
      <c r="R52" s="13">
        <v>0.14000000000000001</v>
      </c>
    </row>
    <row r="53" spans="1:18" s="86" customFormat="1" x14ac:dyDescent="0.25">
      <c r="A53" s="317"/>
      <c r="B53" s="34" t="s">
        <v>126</v>
      </c>
      <c r="C53" s="85">
        <f>205/1572</f>
        <v>0.13040712468193386</v>
      </c>
      <c r="D53" s="12">
        <v>0.18</v>
      </c>
      <c r="E53" s="12">
        <v>0.18</v>
      </c>
      <c r="F53" s="12">
        <v>0.12</v>
      </c>
      <c r="G53" s="12">
        <v>0.17</v>
      </c>
      <c r="H53" s="12">
        <v>0.03</v>
      </c>
      <c r="I53" s="12">
        <v>0</v>
      </c>
      <c r="J53" s="12">
        <v>0.2</v>
      </c>
      <c r="K53" s="12">
        <v>0.18</v>
      </c>
      <c r="L53" s="12">
        <v>0</v>
      </c>
      <c r="M53" s="12">
        <v>0.28000000000000003</v>
      </c>
      <c r="N53" s="12">
        <v>0.19</v>
      </c>
      <c r="O53" s="12">
        <v>0.15</v>
      </c>
      <c r="P53" s="12">
        <v>0.11</v>
      </c>
      <c r="Q53" s="12">
        <v>0.19</v>
      </c>
      <c r="R53" s="13">
        <v>0.11</v>
      </c>
    </row>
    <row r="54" spans="1:18" s="86" customFormat="1" x14ac:dyDescent="0.25">
      <c r="A54" s="317"/>
      <c r="B54" s="34" t="s">
        <v>149</v>
      </c>
      <c r="C54" s="85">
        <f>591/1572</f>
        <v>0.37595419847328243</v>
      </c>
      <c r="D54" s="12">
        <v>0.27</v>
      </c>
      <c r="E54" s="12">
        <v>0.27</v>
      </c>
      <c r="F54" s="12">
        <v>0.48</v>
      </c>
      <c r="G54" s="12">
        <v>0.39</v>
      </c>
      <c r="H54" s="12">
        <v>0.55000000000000004</v>
      </c>
      <c r="I54" s="12">
        <v>0.37</v>
      </c>
      <c r="J54" s="12">
        <v>0.28000000000000003</v>
      </c>
      <c r="K54" s="12">
        <v>0.55000000000000004</v>
      </c>
      <c r="L54" s="12">
        <v>0.3</v>
      </c>
      <c r="M54" s="12">
        <v>0.16</v>
      </c>
      <c r="N54" s="12">
        <v>0.4</v>
      </c>
      <c r="O54" s="12">
        <v>0.31</v>
      </c>
      <c r="P54" s="12">
        <v>0.48</v>
      </c>
      <c r="Q54" s="12">
        <v>0.3</v>
      </c>
      <c r="R54" s="13">
        <v>0.53</v>
      </c>
    </row>
    <row r="55" spans="1:18" s="86" customFormat="1" x14ac:dyDescent="0.25">
      <c r="A55" s="318"/>
      <c r="B55" s="41" t="s">
        <v>5</v>
      </c>
      <c r="C55" s="89">
        <f>321/1572</f>
        <v>0.20419847328244276</v>
      </c>
      <c r="D55" s="18">
        <v>0.05</v>
      </c>
      <c r="E55" s="18">
        <v>0.32</v>
      </c>
      <c r="F55" s="18">
        <v>0.12</v>
      </c>
      <c r="G55" s="18">
        <v>0.13</v>
      </c>
      <c r="H55" s="18">
        <v>0.21</v>
      </c>
      <c r="I55" s="18">
        <v>0.37</v>
      </c>
      <c r="J55" s="18">
        <v>0.26</v>
      </c>
      <c r="K55" s="18">
        <v>0.18</v>
      </c>
      <c r="L55" s="18">
        <v>0.25</v>
      </c>
      <c r="M55" s="18">
        <v>0.2</v>
      </c>
      <c r="N55" s="18">
        <v>0.12</v>
      </c>
      <c r="O55" s="18">
        <v>0.19</v>
      </c>
      <c r="P55" s="18">
        <v>0.17</v>
      </c>
      <c r="Q55" s="18">
        <v>0.23</v>
      </c>
      <c r="R55" s="42">
        <v>0.22</v>
      </c>
    </row>
    <row r="56" spans="1:18" s="86" customFormat="1" x14ac:dyDescent="0.25">
      <c r="A56" s="339" t="s">
        <v>224</v>
      </c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</row>
    <row r="57" spans="1:18" s="86" customFormat="1" x14ac:dyDescent="0.25">
      <c r="A57" s="15"/>
      <c r="B57" s="32"/>
      <c r="D57" s="65"/>
      <c r="E57" s="65"/>
      <c r="F57" s="65"/>
      <c r="G57" s="65"/>
      <c r="H57" s="65"/>
      <c r="I57" s="65"/>
      <c r="J57" s="65"/>
      <c r="K57" s="121"/>
      <c r="L57" s="3"/>
      <c r="M57" s="3"/>
      <c r="N57" s="3"/>
      <c r="O57" s="3"/>
      <c r="P57" s="3"/>
      <c r="Q57" s="3"/>
      <c r="R57" s="3"/>
    </row>
    <row r="58" spans="1:18" s="86" customFormat="1" x14ac:dyDescent="0.25">
      <c r="A58" s="15"/>
      <c r="B58" s="32"/>
      <c r="D58" s="65"/>
      <c r="E58" s="65"/>
      <c r="F58" s="65"/>
      <c r="G58" s="65"/>
      <c r="H58" s="65"/>
      <c r="I58" s="65"/>
      <c r="J58" s="65"/>
      <c r="K58" s="121"/>
      <c r="L58" s="3"/>
      <c r="M58" s="3"/>
      <c r="N58" s="3"/>
      <c r="O58" s="3"/>
      <c r="P58" s="3"/>
      <c r="Q58" s="3"/>
      <c r="R58" s="3"/>
    </row>
    <row r="59" spans="1:18" s="86" customFormat="1" x14ac:dyDescent="0.25">
      <c r="A59" s="15"/>
      <c r="B59" s="32"/>
      <c r="D59" s="65"/>
      <c r="E59" s="65"/>
      <c r="F59" s="65"/>
      <c r="G59" s="65"/>
      <c r="H59" s="65"/>
      <c r="I59" s="65"/>
      <c r="J59" s="65"/>
      <c r="K59" s="121"/>
      <c r="L59" s="3"/>
      <c r="M59" s="3"/>
      <c r="N59" s="3"/>
      <c r="O59" s="3"/>
      <c r="P59" s="3"/>
      <c r="Q59" s="3"/>
      <c r="R59" s="3"/>
    </row>
    <row r="60" spans="1:18" s="86" customFormat="1" x14ac:dyDescent="0.25">
      <c r="A60" s="15"/>
      <c r="B60" s="32"/>
      <c r="D60" s="65"/>
      <c r="E60" s="65"/>
      <c r="F60" s="65"/>
      <c r="G60" s="65"/>
      <c r="H60" s="65"/>
      <c r="I60" s="65"/>
      <c r="J60" s="65"/>
      <c r="K60" s="121"/>
      <c r="L60" s="3"/>
      <c r="M60" s="3"/>
      <c r="N60" s="3"/>
      <c r="O60" s="3"/>
      <c r="P60" s="3"/>
      <c r="Q60" s="3"/>
      <c r="R60" s="3"/>
    </row>
    <row r="61" spans="1:18" s="86" customFormat="1" x14ac:dyDescent="0.25">
      <c r="A61" s="15"/>
      <c r="B61" s="32"/>
      <c r="D61" s="65"/>
      <c r="E61" s="65"/>
      <c r="F61" s="65"/>
      <c r="G61" s="65"/>
      <c r="H61" s="65"/>
      <c r="I61" s="65"/>
      <c r="J61" s="65"/>
      <c r="K61" s="121"/>
      <c r="L61" s="3"/>
      <c r="M61" s="3"/>
      <c r="N61" s="3"/>
      <c r="O61" s="3"/>
      <c r="P61" s="3"/>
      <c r="Q61" s="3"/>
      <c r="R61" s="3"/>
    </row>
    <row r="62" spans="1:18" s="86" customFormat="1" x14ac:dyDescent="0.25">
      <c r="A62" s="15"/>
      <c r="B62" s="32"/>
      <c r="D62" s="65"/>
      <c r="E62" s="65"/>
      <c r="F62" s="65"/>
      <c r="G62" s="65"/>
      <c r="H62" s="65"/>
      <c r="I62" s="65"/>
      <c r="J62" s="65"/>
      <c r="K62" s="121"/>
      <c r="L62" s="3"/>
      <c r="M62" s="3"/>
      <c r="N62" s="3"/>
      <c r="O62" s="3"/>
      <c r="P62" s="3"/>
      <c r="Q62" s="3"/>
      <c r="R62" s="3"/>
    </row>
    <row r="63" spans="1:18" s="86" customFormat="1" x14ac:dyDescent="0.25">
      <c r="A63" s="15"/>
      <c r="B63" s="32"/>
      <c r="D63" s="65"/>
      <c r="E63" s="65"/>
      <c r="F63" s="65"/>
      <c r="G63" s="65"/>
      <c r="H63" s="65"/>
      <c r="I63" s="65"/>
      <c r="J63" s="65"/>
      <c r="K63" s="121"/>
      <c r="L63" s="3"/>
      <c r="M63" s="3"/>
      <c r="N63" s="3"/>
      <c r="O63" s="3"/>
      <c r="P63" s="3"/>
      <c r="Q63" s="3"/>
      <c r="R63" s="3"/>
    </row>
    <row r="64" spans="1:18" s="86" customFormat="1" x14ac:dyDescent="0.25">
      <c r="A64" s="15"/>
      <c r="B64" s="32"/>
      <c r="D64" s="65"/>
      <c r="E64" s="65"/>
      <c r="F64" s="65"/>
      <c r="G64" s="65"/>
      <c r="H64" s="65"/>
      <c r="I64" s="65"/>
      <c r="J64" s="65"/>
      <c r="K64" s="121"/>
      <c r="L64" s="3"/>
      <c r="M64" s="3"/>
      <c r="N64" s="3"/>
      <c r="O64" s="3"/>
      <c r="P64" s="3"/>
      <c r="Q64" s="3"/>
      <c r="R64" s="3"/>
    </row>
    <row r="65" spans="1:18" s="86" customFormat="1" x14ac:dyDescent="0.25">
      <c r="A65" s="15"/>
      <c r="B65" s="32"/>
      <c r="D65" s="65"/>
      <c r="E65" s="65"/>
      <c r="F65" s="65"/>
      <c r="G65" s="65"/>
      <c r="H65" s="65"/>
      <c r="I65" s="65"/>
      <c r="J65" s="65"/>
      <c r="K65" s="121"/>
      <c r="L65" s="3"/>
      <c r="M65" s="3"/>
      <c r="N65" s="3"/>
      <c r="O65" s="3"/>
      <c r="P65" s="3"/>
      <c r="Q65" s="3"/>
      <c r="R65" s="3"/>
    </row>
    <row r="66" spans="1:18" s="86" customFormat="1" x14ac:dyDescent="0.25">
      <c r="A66" s="15"/>
      <c r="B66" s="32"/>
      <c r="D66" s="65"/>
      <c r="E66" s="65"/>
      <c r="F66" s="65"/>
      <c r="G66" s="65"/>
      <c r="H66" s="65"/>
      <c r="I66" s="65"/>
      <c r="J66" s="65"/>
      <c r="K66" s="121"/>
      <c r="L66" s="3"/>
      <c r="M66" s="3"/>
      <c r="N66" s="3"/>
      <c r="O66" s="3"/>
      <c r="P66" s="3"/>
      <c r="Q66" s="3"/>
      <c r="R66" s="3"/>
    </row>
    <row r="67" spans="1:18" s="86" customFormat="1" x14ac:dyDescent="0.25">
      <c r="A67" s="15"/>
      <c r="B67" s="32"/>
      <c r="D67" s="65"/>
      <c r="E67" s="65"/>
      <c r="F67" s="65"/>
      <c r="G67" s="65"/>
      <c r="H67" s="65"/>
      <c r="I67" s="65"/>
      <c r="J67" s="65"/>
      <c r="K67" s="121"/>
      <c r="L67" s="3"/>
      <c r="M67" s="3"/>
      <c r="N67" s="3"/>
      <c r="O67" s="3"/>
      <c r="P67" s="3"/>
      <c r="Q67" s="3"/>
      <c r="R67" s="3"/>
    </row>
    <row r="68" spans="1:18" s="86" customFormat="1" x14ac:dyDescent="0.25">
      <c r="A68" s="15"/>
      <c r="B68" s="32"/>
      <c r="D68" s="65"/>
      <c r="E68" s="65"/>
      <c r="F68" s="65"/>
      <c r="G68" s="65"/>
      <c r="H68" s="65"/>
      <c r="I68" s="65"/>
      <c r="J68" s="65"/>
      <c r="K68" s="121"/>
      <c r="L68" s="3"/>
      <c r="M68" s="3"/>
      <c r="N68" s="3"/>
      <c r="O68" s="3"/>
      <c r="P68" s="3"/>
      <c r="Q68" s="3"/>
      <c r="R68" s="3"/>
    </row>
    <row r="69" spans="1:18" x14ac:dyDescent="0.25">
      <c r="B69" s="32"/>
    </row>
    <row r="70" spans="1:18" x14ac:dyDescent="0.25">
      <c r="B70" s="32"/>
    </row>
    <row r="71" spans="1:18" x14ac:dyDescent="0.25">
      <c r="B71" s="32"/>
    </row>
    <row r="72" spans="1:18" x14ac:dyDescent="0.25">
      <c r="B72" s="32"/>
    </row>
    <row r="73" spans="1:18" x14ac:dyDescent="0.25">
      <c r="B73" s="32"/>
    </row>
    <row r="74" spans="1:18" x14ac:dyDescent="0.25">
      <c r="B74" s="32"/>
    </row>
    <row r="75" spans="1:18" x14ac:dyDescent="0.25">
      <c r="B75" s="32"/>
    </row>
    <row r="76" spans="1:18" x14ac:dyDescent="0.25">
      <c r="B76" s="32"/>
    </row>
    <row r="77" spans="1:18" x14ac:dyDescent="0.25">
      <c r="B77" s="32"/>
    </row>
    <row r="78" spans="1:18" x14ac:dyDescent="0.25">
      <c r="B78" s="32"/>
    </row>
    <row r="79" spans="1:18" x14ac:dyDescent="0.25">
      <c r="B79" s="32"/>
    </row>
    <row r="80" spans="1:18" x14ac:dyDescent="0.25">
      <c r="B80" s="32"/>
    </row>
    <row r="81" spans="2:2" x14ac:dyDescent="0.25">
      <c r="B81" s="32"/>
    </row>
    <row r="82" spans="2:2" x14ac:dyDescent="0.25">
      <c r="B82" s="32"/>
    </row>
    <row r="83" spans="2:2" x14ac:dyDescent="0.25">
      <c r="B83" s="32"/>
    </row>
    <row r="84" spans="2:2" x14ac:dyDescent="0.25">
      <c r="B84" s="32"/>
    </row>
    <row r="85" spans="2:2" x14ac:dyDescent="0.25">
      <c r="B85" s="32"/>
    </row>
    <row r="86" spans="2:2" x14ac:dyDescent="0.25">
      <c r="B86" s="32"/>
    </row>
    <row r="87" spans="2:2" x14ac:dyDescent="0.25">
      <c r="B87" s="32"/>
    </row>
    <row r="88" spans="2:2" x14ac:dyDescent="0.25">
      <c r="B88" s="32"/>
    </row>
    <row r="89" spans="2:2" x14ac:dyDescent="0.25">
      <c r="B89" s="32"/>
    </row>
    <row r="90" spans="2:2" x14ac:dyDescent="0.25">
      <c r="B90" s="32"/>
    </row>
    <row r="91" spans="2:2" x14ac:dyDescent="0.25">
      <c r="B91" s="32"/>
    </row>
    <row r="92" spans="2:2" x14ac:dyDescent="0.25">
      <c r="B92" s="32"/>
    </row>
    <row r="93" spans="2:2" x14ac:dyDescent="0.25">
      <c r="B93" s="32"/>
    </row>
    <row r="94" spans="2:2" x14ac:dyDescent="0.25">
      <c r="B94" s="32"/>
    </row>
    <row r="95" spans="2:2" x14ac:dyDescent="0.25">
      <c r="B95" s="32"/>
    </row>
    <row r="96" spans="2:2" x14ac:dyDescent="0.25">
      <c r="B96" s="32"/>
    </row>
    <row r="97" spans="2:2" x14ac:dyDescent="0.25">
      <c r="B97" s="32"/>
    </row>
    <row r="98" spans="2:2" x14ac:dyDescent="0.25">
      <c r="B98" s="32"/>
    </row>
    <row r="99" spans="2:2" x14ac:dyDescent="0.25">
      <c r="B99" s="32"/>
    </row>
    <row r="100" spans="2:2" x14ac:dyDescent="0.25">
      <c r="B100" s="32"/>
    </row>
    <row r="101" spans="2:2" x14ac:dyDescent="0.25">
      <c r="B101" s="32"/>
    </row>
    <row r="102" spans="2:2" x14ac:dyDescent="0.25">
      <c r="B102" s="32"/>
    </row>
    <row r="103" spans="2:2" x14ac:dyDescent="0.25">
      <c r="B103" s="32"/>
    </row>
    <row r="104" spans="2:2" x14ac:dyDescent="0.25">
      <c r="B104" s="32"/>
    </row>
    <row r="105" spans="2:2" x14ac:dyDescent="0.25">
      <c r="B105" s="32"/>
    </row>
    <row r="106" spans="2:2" x14ac:dyDescent="0.25">
      <c r="B106" s="32"/>
    </row>
    <row r="107" spans="2:2" x14ac:dyDescent="0.25">
      <c r="B107" s="32"/>
    </row>
    <row r="108" spans="2:2" x14ac:dyDescent="0.25">
      <c r="B108" s="32"/>
    </row>
    <row r="109" spans="2:2" x14ac:dyDescent="0.25">
      <c r="B109" s="32"/>
    </row>
    <row r="110" spans="2:2" x14ac:dyDescent="0.25">
      <c r="B110" s="32"/>
    </row>
    <row r="111" spans="2:2" x14ac:dyDescent="0.25">
      <c r="B111" s="32"/>
    </row>
    <row r="112" spans="2:2" x14ac:dyDescent="0.25">
      <c r="B112" s="32"/>
    </row>
    <row r="113" spans="2:2" x14ac:dyDescent="0.25">
      <c r="B113" s="32"/>
    </row>
    <row r="114" spans="2:2" x14ac:dyDescent="0.25">
      <c r="B114" s="32"/>
    </row>
    <row r="115" spans="2:2" x14ac:dyDescent="0.25">
      <c r="B115" s="32"/>
    </row>
    <row r="116" spans="2:2" x14ac:dyDescent="0.25">
      <c r="B116" s="32"/>
    </row>
    <row r="117" spans="2:2" x14ac:dyDescent="0.25">
      <c r="B117" s="32"/>
    </row>
    <row r="118" spans="2:2" x14ac:dyDescent="0.25">
      <c r="B118" s="32"/>
    </row>
    <row r="119" spans="2:2" x14ac:dyDescent="0.25">
      <c r="B119" s="32"/>
    </row>
    <row r="120" spans="2:2" x14ac:dyDescent="0.25">
      <c r="B120" s="32"/>
    </row>
    <row r="121" spans="2:2" x14ac:dyDescent="0.25">
      <c r="B121" s="32"/>
    </row>
    <row r="122" spans="2:2" x14ac:dyDescent="0.25">
      <c r="B122" s="32"/>
    </row>
    <row r="123" spans="2:2" x14ac:dyDescent="0.25">
      <c r="B123" s="32"/>
    </row>
    <row r="124" spans="2:2" x14ac:dyDescent="0.25">
      <c r="B124" s="32"/>
    </row>
    <row r="125" spans="2:2" x14ac:dyDescent="0.25">
      <c r="B125" s="32"/>
    </row>
    <row r="126" spans="2:2" x14ac:dyDescent="0.25">
      <c r="B126" s="32"/>
    </row>
    <row r="127" spans="2:2" x14ac:dyDescent="0.25">
      <c r="B127" s="32"/>
    </row>
    <row r="128" spans="2:2" x14ac:dyDescent="0.25">
      <c r="B128" s="32"/>
    </row>
    <row r="129" spans="2:2" x14ac:dyDescent="0.25">
      <c r="B129" s="32"/>
    </row>
    <row r="130" spans="2:2" x14ac:dyDescent="0.25">
      <c r="B130" s="32"/>
    </row>
    <row r="131" spans="2:2" x14ac:dyDescent="0.25">
      <c r="B131" s="32"/>
    </row>
    <row r="132" spans="2:2" x14ac:dyDescent="0.25">
      <c r="B132" s="32"/>
    </row>
    <row r="133" spans="2:2" x14ac:dyDescent="0.25">
      <c r="B133" s="32"/>
    </row>
    <row r="134" spans="2:2" x14ac:dyDescent="0.25">
      <c r="B134" s="32"/>
    </row>
    <row r="135" spans="2:2" x14ac:dyDescent="0.25">
      <c r="B135" s="32"/>
    </row>
    <row r="136" spans="2:2" x14ac:dyDescent="0.25">
      <c r="B136" s="32"/>
    </row>
    <row r="137" spans="2:2" x14ac:dyDescent="0.25">
      <c r="B137" s="32"/>
    </row>
    <row r="138" spans="2:2" x14ac:dyDescent="0.25">
      <c r="B138" s="32"/>
    </row>
    <row r="139" spans="2:2" x14ac:dyDescent="0.25">
      <c r="B139" s="32"/>
    </row>
    <row r="140" spans="2:2" x14ac:dyDescent="0.25">
      <c r="B140" s="32"/>
    </row>
    <row r="141" spans="2:2" x14ac:dyDescent="0.25">
      <c r="B141" s="32"/>
    </row>
    <row r="142" spans="2:2" x14ac:dyDescent="0.25">
      <c r="B142" s="32"/>
    </row>
    <row r="143" spans="2:2" x14ac:dyDescent="0.25">
      <c r="B143" s="32"/>
    </row>
    <row r="144" spans="2:2" x14ac:dyDescent="0.25">
      <c r="B144" s="32"/>
    </row>
    <row r="145" spans="2:2" x14ac:dyDescent="0.25">
      <c r="B145" s="32"/>
    </row>
    <row r="146" spans="2:2" x14ac:dyDescent="0.25">
      <c r="B146" s="32"/>
    </row>
    <row r="147" spans="2:2" x14ac:dyDescent="0.25">
      <c r="B147" s="32"/>
    </row>
    <row r="148" spans="2:2" x14ac:dyDescent="0.25">
      <c r="B148" s="32"/>
    </row>
    <row r="149" spans="2:2" x14ac:dyDescent="0.25">
      <c r="B149" s="32"/>
    </row>
    <row r="150" spans="2:2" x14ac:dyDescent="0.25">
      <c r="B150" s="32"/>
    </row>
    <row r="151" spans="2:2" x14ac:dyDescent="0.25">
      <c r="B151" s="32"/>
    </row>
    <row r="152" spans="2:2" x14ac:dyDescent="0.25">
      <c r="B152" s="32"/>
    </row>
    <row r="153" spans="2:2" x14ac:dyDescent="0.25">
      <c r="B153" s="32"/>
    </row>
    <row r="154" spans="2:2" x14ac:dyDescent="0.25">
      <c r="B154" s="32"/>
    </row>
    <row r="155" spans="2:2" x14ac:dyDescent="0.25">
      <c r="B155" s="32"/>
    </row>
    <row r="156" spans="2:2" x14ac:dyDescent="0.25">
      <c r="B156" s="32"/>
    </row>
    <row r="157" spans="2:2" x14ac:dyDescent="0.25">
      <c r="B157" s="32"/>
    </row>
    <row r="158" spans="2:2" x14ac:dyDescent="0.25">
      <c r="B158" s="32"/>
    </row>
    <row r="159" spans="2:2" x14ac:dyDescent="0.25">
      <c r="B159" s="32"/>
    </row>
    <row r="160" spans="2:2" x14ac:dyDescent="0.25">
      <c r="B160" s="32"/>
    </row>
    <row r="161" spans="2:2" x14ac:dyDescent="0.25">
      <c r="B161" s="32"/>
    </row>
    <row r="162" spans="2:2" x14ac:dyDescent="0.25">
      <c r="B162" s="32"/>
    </row>
    <row r="163" spans="2:2" x14ac:dyDescent="0.25">
      <c r="B163" s="32"/>
    </row>
    <row r="164" spans="2:2" x14ac:dyDescent="0.25">
      <c r="B164" s="32"/>
    </row>
    <row r="165" spans="2:2" x14ac:dyDescent="0.25">
      <c r="B165" s="32"/>
    </row>
    <row r="166" spans="2:2" x14ac:dyDescent="0.25">
      <c r="B166" s="32"/>
    </row>
    <row r="167" spans="2:2" x14ac:dyDescent="0.25">
      <c r="B167" s="32"/>
    </row>
    <row r="168" spans="2:2" x14ac:dyDescent="0.25">
      <c r="B168" s="32"/>
    </row>
    <row r="169" spans="2:2" x14ac:dyDescent="0.25">
      <c r="B169" s="32"/>
    </row>
    <row r="170" spans="2:2" x14ac:dyDescent="0.25">
      <c r="B170" s="32"/>
    </row>
    <row r="171" spans="2:2" x14ac:dyDescent="0.25">
      <c r="B171" s="32"/>
    </row>
    <row r="172" spans="2:2" x14ac:dyDescent="0.25">
      <c r="B172" s="32"/>
    </row>
    <row r="173" spans="2:2" x14ac:dyDescent="0.25">
      <c r="B173" s="32"/>
    </row>
    <row r="174" spans="2:2" x14ac:dyDescent="0.25">
      <c r="B174" s="32"/>
    </row>
    <row r="175" spans="2:2" x14ac:dyDescent="0.25">
      <c r="B175" s="32"/>
    </row>
    <row r="176" spans="2:2" x14ac:dyDescent="0.25">
      <c r="B176" s="32"/>
    </row>
    <row r="177" spans="2:2" x14ac:dyDescent="0.25">
      <c r="B177" s="32"/>
    </row>
    <row r="178" spans="2:2" x14ac:dyDescent="0.25">
      <c r="B178" s="32"/>
    </row>
    <row r="179" spans="2:2" x14ac:dyDescent="0.25">
      <c r="B179" s="32"/>
    </row>
    <row r="180" spans="2:2" x14ac:dyDescent="0.25">
      <c r="B180" s="32"/>
    </row>
    <row r="181" spans="2:2" x14ac:dyDescent="0.25">
      <c r="B181" s="32"/>
    </row>
    <row r="182" spans="2:2" x14ac:dyDescent="0.25">
      <c r="B182" s="32"/>
    </row>
    <row r="183" spans="2:2" x14ac:dyDescent="0.25">
      <c r="B183" s="32"/>
    </row>
    <row r="184" spans="2:2" x14ac:dyDescent="0.25">
      <c r="B184" s="32"/>
    </row>
    <row r="185" spans="2:2" x14ac:dyDescent="0.25">
      <c r="B185" s="32"/>
    </row>
    <row r="186" spans="2:2" x14ac:dyDescent="0.25">
      <c r="B186" s="32"/>
    </row>
    <row r="187" spans="2:2" x14ac:dyDescent="0.25">
      <c r="B187" s="32"/>
    </row>
    <row r="188" spans="2:2" x14ac:dyDescent="0.25">
      <c r="B188" s="32"/>
    </row>
    <row r="189" spans="2:2" x14ac:dyDescent="0.25">
      <c r="B189" s="32"/>
    </row>
    <row r="190" spans="2:2" x14ac:dyDescent="0.25">
      <c r="B190" s="32"/>
    </row>
    <row r="191" spans="2:2" x14ac:dyDescent="0.25">
      <c r="B191" s="32"/>
    </row>
    <row r="192" spans="2:2" x14ac:dyDescent="0.25">
      <c r="B192" s="32"/>
    </row>
    <row r="193" spans="2:2" x14ac:dyDescent="0.25">
      <c r="B193" s="32"/>
    </row>
    <row r="194" spans="2:2" x14ac:dyDescent="0.25">
      <c r="B194" s="32"/>
    </row>
    <row r="195" spans="2:2" x14ac:dyDescent="0.25">
      <c r="B195" s="32"/>
    </row>
    <row r="196" spans="2:2" x14ac:dyDescent="0.25">
      <c r="B196" s="32"/>
    </row>
    <row r="197" spans="2:2" x14ac:dyDescent="0.25">
      <c r="B197" s="32"/>
    </row>
    <row r="198" spans="2:2" x14ac:dyDescent="0.25">
      <c r="B198" s="32"/>
    </row>
    <row r="199" spans="2:2" x14ac:dyDescent="0.25">
      <c r="B199" s="32"/>
    </row>
    <row r="200" spans="2:2" x14ac:dyDescent="0.25">
      <c r="B200" s="32"/>
    </row>
    <row r="201" spans="2:2" x14ac:dyDescent="0.25">
      <c r="B201" s="32"/>
    </row>
    <row r="202" spans="2:2" x14ac:dyDescent="0.25">
      <c r="B202" s="32"/>
    </row>
    <row r="203" spans="2:2" x14ac:dyDescent="0.25">
      <c r="B203" s="32"/>
    </row>
    <row r="204" spans="2:2" x14ac:dyDescent="0.25">
      <c r="B204" s="32"/>
    </row>
    <row r="205" spans="2:2" x14ac:dyDescent="0.25">
      <c r="B205" s="32"/>
    </row>
    <row r="206" spans="2:2" x14ac:dyDescent="0.25">
      <c r="B206" s="32"/>
    </row>
    <row r="207" spans="2:2" x14ac:dyDescent="0.25">
      <c r="B207" s="32"/>
    </row>
    <row r="208" spans="2:2" x14ac:dyDescent="0.25">
      <c r="B208" s="32"/>
    </row>
    <row r="209" spans="2:2" x14ac:dyDescent="0.25">
      <c r="B209" s="32"/>
    </row>
    <row r="210" spans="2:2" x14ac:dyDescent="0.25">
      <c r="B210" s="32"/>
    </row>
    <row r="211" spans="2:2" x14ac:dyDescent="0.25">
      <c r="B211" s="32"/>
    </row>
    <row r="212" spans="2:2" x14ac:dyDescent="0.25">
      <c r="B212" s="32"/>
    </row>
    <row r="213" spans="2:2" x14ac:dyDescent="0.25">
      <c r="B213" s="32"/>
    </row>
    <row r="214" spans="2:2" x14ac:dyDescent="0.25">
      <c r="B214" s="32"/>
    </row>
    <row r="215" spans="2:2" x14ac:dyDescent="0.25">
      <c r="B215" s="32"/>
    </row>
    <row r="216" spans="2:2" x14ac:dyDescent="0.25">
      <c r="B216" s="32"/>
    </row>
    <row r="217" spans="2:2" x14ac:dyDescent="0.25">
      <c r="B217" s="32"/>
    </row>
    <row r="218" spans="2:2" x14ac:dyDescent="0.25">
      <c r="B218" s="32"/>
    </row>
    <row r="219" spans="2:2" x14ac:dyDescent="0.25">
      <c r="B219" s="32"/>
    </row>
    <row r="220" spans="2:2" x14ac:dyDescent="0.25">
      <c r="B220" s="32"/>
    </row>
    <row r="221" spans="2:2" x14ac:dyDescent="0.25">
      <c r="B221" s="32"/>
    </row>
    <row r="222" spans="2:2" x14ac:dyDescent="0.25">
      <c r="B222" s="32"/>
    </row>
    <row r="223" spans="2:2" x14ac:dyDescent="0.25">
      <c r="B223" s="32"/>
    </row>
    <row r="224" spans="2:2" x14ac:dyDescent="0.25">
      <c r="B224" s="32"/>
    </row>
    <row r="225" spans="2:2" x14ac:dyDescent="0.25">
      <c r="B225" s="32"/>
    </row>
    <row r="226" spans="2:2" x14ac:dyDescent="0.25">
      <c r="B226" s="32"/>
    </row>
    <row r="227" spans="2:2" x14ac:dyDescent="0.25">
      <c r="B227" s="32"/>
    </row>
    <row r="228" spans="2:2" x14ac:dyDescent="0.25">
      <c r="B228" s="32"/>
    </row>
    <row r="229" spans="2:2" x14ac:dyDescent="0.25">
      <c r="B229" s="32"/>
    </row>
    <row r="230" spans="2:2" x14ac:dyDescent="0.25">
      <c r="B230" s="32"/>
    </row>
    <row r="231" spans="2:2" x14ac:dyDescent="0.25">
      <c r="B231" s="32"/>
    </row>
    <row r="232" spans="2:2" x14ac:dyDescent="0.25">
      <c r="B232" s="32"/>
    </row>
    <row r="233" spans="2:2" x14ac:dyDescent="0.25">
      <c r="B233" s="32"/>
    </row>
    <row r="234" spans="2:2" x14ac:dyDescent="0.25">
      <c r="B234" s="32"/>
    </row>
    <row r="235" spans="2:2" x14ac:dyDescent="0.25">
      <c r="B235" s="32"/>
    </row>
    <row r="236" spans="2:2" x14ac:dyDescent="0.25">
      <c r="B236" s="32"/>
    </row>
    <row r="237" spans="2:2" x14ac:dyDescent="0.25">
      <c r="B237" s="32"/>
    </row>
    <row r="238" spans="2:2" x14ac:dyDescent="0.25">
      <c r="B238" s="32"/>
    </row>
    <row r="239" spans="2:2" x14ac:dyDescent="0.25">
      <c r="B239" s="32"/>
    </row>
    <row r="240" spans="2:2" x14ac:dyDescent="0.25">
      <c r="B240" s="32"/>
    </row>
    <row r="241" spans="2:2" x14ac:dyDescent="0.25">
      <c r="B241" s="32"/>
    </row>
    <row r="242" spans="2:2" x14ac:dyDescent="0.25">
      <c r="B242" s="32"/>
    </row>
    <row r="243" spans="2:2" x14ac:dyDescent="0.25">
      <c r="B243" s="32"/>
    </row>
    <row r="244" spans="2:2" x14ac:dyDescent="0.25">
      <c r="B244" s="32"/>
    </row>
    <row r="245" spans="2:2" x14ac:dyDescent="0.25">
      <c r="B245" s="32"/>
    </row>
    <row r="246" spans="2:2" x14ac:dyDescent="0.25">
      <c r="B246" s="32"/>
    </row>
    <row r="247" spans="2:2" x14ac:dyDescent="0.25">
      <c r="B247" s="32"/>
    </row>
    <row r="248" spans="2:2" x14ac:dyDescent="0.25">
      <c r="B248" s="32"/>
    </row>
    <row r="249" spans="2:2" x14ac:dyDescent="0.25">
      <c r="B249" s="32"/>
    </row>
  </sheetData>
  <mergeCells count="15">
    <mergeCell ref="A1:B1"/>
    <mergeCell ref="A2:B2"/>
    <mergeCell ref="A31:B31"/>
    <mergeCell ref="A56:R56"/>
    <mergeCell ref="A17:A23"/>
    <mergeCell ref="A25:A28"/>
    <mergeCell ref="A30:B30"/>
    <mergeCell ref="A33:A35"/>
    <mergeCell ref="A37:A38"/>
    <mergeCell ref="A40:A42"/>
    <mergeCell ref="A44:A50"/>
    <mergeCell ref="A52:A55"/>
    <mergeCell ref="A4:A8"/>
    <mergeCell ref="A13:A15"/>
    <mergeCell ref="A10:A11"/>
  </mergeCells>
  <conditionalFormatting sqref="D4:S4 D33:R33">
    <cfRule type="cellIs" dxfId="52" priority="53" operator="greaterThan">
      <formula>0.41</formula>
    </cfRule>
  </conditionalFormatting>
  <conditionalFormatting sqref="D5:S5 D34:R34">
    <cfRule type="cellIs" dxfId="51" priority="52" operator="lessThan">
      <formula>0.27</formula>
    </cfRule>
  </conditionalFormatting>
  <conditionalFormatting sqref="D5:S5 D34:R34">
    <cfRule type="top10" dxfId="50" priority="51" rank="1"/>
  </conditionalFormatting>
  <conditionalFormatting sqref="D5:S5 D34:R34">
    <cfRule type="top10" dxfId="49" priority="50" bottom="1" rank="1"/>
  </conditionalFormatting>
  <conditionalFormatting sqref="H37 D4:S4 D33:R33">
    <cfRule type="top10" dxfId="48" priority="48" rank="1"/>
    <cfRule type="top10" dxfId="47" priority="49" rank="1"/>
  </conditionalFormatting>
  <conditionalFormatting sqref="D10:S10 D36:R37">
    <cfRule type="cellIs" dxfId="46" priority="47" operator="greaterThan">
      <formula>0.28</formula>
    </cfRule>
  </conditionalFormatting>
  <conditionalFormatting sqref="D10:S10 D36:R37">
    <cfRule type="top10" dxfId="45" priority="46" rank="1"/>
  </conditionalFormatting>
  <conditionalFormatting sqref="D10:S10 D36:R37">
    <cfRule type="top10" dxfId="44" priority="45" bottom="1" rank="1"/>
  </conditionalFormatting>
  <conditionalFormatting sqref="D11:S11 D38:R38">
    <cfRule type="top10" dxfId="43" priority="42" bottom="1" rank="1"/>
    <cfRule type="top10" dxfId="42" priority="43" rank="1"/>
    <cfRule type="cellIs" dxfId="41" priority="44" operator="greaterThan">
      <formula>0.52</formula>
    </cfRule>
  </conditionalFormatting>
  <conditionalFormatting sqref="D13:S13 D40:R40">
    <cfRule type="top10" dxfId="40" priority="39" bottom="1" rank="1"/>
    <cfRule type="top10" dxfId="39" priority="40" rank="1"/>
    <cfRule type="cellIs" dxfId="38" priority="41" operator="greaterThan">
      <formula>0.38</formula>
    </cfRule>
  </conditionalFormatting>
  <conditionalFormatting sqref="D14:S14 D41:R41">
    <cfRule type="top10" dxfId="37" priority="36" bottom="1" rank="1"/>
    <cfRule type="top10" dxfId="36" priority="37" rank="1"/>
    <cfRule type="cellIs" dxfId="35" priority="38" operator="greaterThan">
      <formula>0.17</formula>
    </cfRule>
  </conditionalFormatting>
  <conditionalFormatting sqref="D15:S15 D42:R42">
    <cfRule type="top10" dxfId="34" priority="34" rank="1"/>
    <cfRule type="cellIs" dxfId="33" priority="35" operator="greaterThan">
      <formula>0.03</formula>
    </cfRule>
  </conditionalFormatting>
  <conditionalFormatting sqref="D17:S17 D44:R44">
    <cfRule type="top10" dxfId="32" priority="31" bottom="1" rank="1"/>
    <cfRule type="top10" dxfId="31" priority="32" rank="1"/>
    <cfRule type="cellIs" dxfId="30" priority="33" operator="greaterThan">
      <formula>0.33</formula>
    </cfRule>
  </conditionalFormatting>
  <conditionalFormatting sqref="D18:S18 D45:R45">
    <cfRule type="cellIs" dxfId="29" priority="30" operator="greaterThan">
      <formula>0.6</formula>
    </cfRule>
  </conditionalFormatting>
  <conditionalFormatting sqref="D18:S18 D45:R45">
    <cfRule type="top10" dxfId="28" priority="29" rank="1"/>
  </conditionalFormatting>
  <conditionalFormatting sqref="D18:S18 D45:R45">
    <cfRule type="top10" dxfId="27" priority="28" bottom="1" rank="1"/>
  </conditionalFormatting>
  <conditionalFormatting sqref="D19:S19 D46:R46">
    <cfRule type="top10" dxfId="26" priority="25" bottom="1" rank="1"/>
    <cfRule type="top10" dxfId="25" priority="26" rank="1"/>
    <cfRule type="cellIs" dxfId="24" priority="27" operator="greaterThan">
      <formula>0.12</formula>
    </cfRule>
  </conditionalFormatting>
  <conditionalFormatting sqref="D20:S20 D47:R47">
    <cfRule type="top10" dxfId="23" priority="22" bottom="1" rank="1"/>
    <cfRule type="top10" dxfId="22" priority="23" rank="1"/>
    <cfRule type="cellIs" dxfId="21" priority="24" operator="greaterThan">
      <formula>0.04</formula>
    </cfRule>
  </conditionalFormatting>
  <conditionalFormatting sqref="D21:S21 D48:R48">
    <cfRule type="top10" dxfId="20" priority="19" bottom="1" rank="1"/>
    <cfRule type="top10" dxfId="19" priority="20" rank="1"/>
    <cfRule type="cellIs" dxfId="18" priority="21" operator="greaterThan">
      <formula>0.22</formula>
    </cfRule>
  </conditionalFormatting>
  <conditionalFormatting sqref="D22:S22 D49:R49">
    <cfRule type="cellIs" dxfId="17" priority="18" operator="greaterThan">
      <formula>0.32</formula>
    </cfRule>
  </conditionalFormatting>
  <conditionalFormatting sqref="D22:S22 D49:R49">
    <cfRule type="top10" dxfId="16" priority="17" rank="1"/>
  </conditionalFormatting>
  <conditionalFormatting sqref="D22:S22 D49:R49">
    <cfRule type="top10" dxfId="15" priority="16" bottom="1" rank="1"/>
  </conditionalFormatting>
  <conditionalFormatting sqref="D23:S23 D50:R50">
    <cfRule type="top10" dxfId="14" priority="13" bottom="1" rank="1"/>
    <cfRule type="top10" dxfId="13" priority="14" rank="1"/>
    <cfRule type="cellIs" dxfId="12" priority="15" operator="greaterThan">
      <formula>0.18</formula>
    </cfRule>
  </conditionalFormatting>
  <conditionalFormatting sqref="D25:S25 D52:R52">
    <cfRule type="top10" dxfId="11" priority="10" bottom="1" rank="1"/>
    <cfRule type="top10" dxfId="10" priority="11" rank="1"/>
    <cfRule type="cellIs" dxfId="9" priority="12" operator="greaterThan">
      <formula>0.29</formula>
    </cfRule>
  </conditionalFormatting>
  <conditionalFormatting sqref="D26:S26 D53:R53">
    <cfRule type="top10" dxfId="8" priority="7" bottom="1" rank="1"/>
    <cfRule type="top10" dxfId="7" priority="8" rank="1"/>
    <cfRule type="cellIs" dxfId="6" priority="9" operator="greaterThan">
      <formula>0.13</formula>
    </cfRule>
  </conditionalFormatting>
  <conditionalFormatting sqref="D27:S27 D54:R54">
    <cfRule type="top10" dxfId="5" priority="4" bottom="1" rank="1"/>
    <cfRule type="top10" dxfId="4" priority="5" rank="1"/>
    <cfRule type="cellIs" dxfId="3" priority="6" operator="greaterThan">
      <formula>0.38</formula>
    </cfRule>
  </conditionalFormatting>
  <conditionalFormatting sqref="D28:S28 D55:R55">
    <cfRule type="top10" dxfId="2" priority="1" bottom="1" rank="1"/>
    <cfRule type="top10" dxfId="1" priority="2" rank="1"/>
    <cfRule type="cellIs" dxfId="0" priority="3" operator="greaterThan">
      <formula>0.2</formula>
    </cfRule>
  </conditionalFormatting>
  <pageMargins left="0.05" right="0.05" top="0.25" bottom="0.25" header="0" footer="0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Oct 7-19 survey</vt:lpstr>
      <vt:lpstr>Oct state breakout</vt:lpstr>
      <vt:lpstr>Aug 4-26 survey</vt:lpstr>
      <vt:lpstr>Aug state breakout</vt:lpstr>
      <vt:lpstr>'Aug 4-26 survey'!Print_Titles</vt:lpstr>
      <vt:lpstr>'Aug state breakout'!Print_Titles</vt:lpstr>
      <vt:lpstr>'Oct 7-19 survey'!Print_Titles</vt:lpstr>
      <vt:lpstr>'Oct state breakout'!Print_Titles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</dc:creator>
  <cp:lastModifiedBy>solom</cp:lastModifiedBy>
  <cp:lastPrinted>2020-10-26T01:06:19Z</cp:lastPrinted>
  <dcterms:created xsi:type="dcterms:W3CDTF">2020-08-14T15:08:05Z</dcterms:created>
  <dcterms:modified xsi:type="dcterms:W3CDTF">2020-10-28T15:24:03Z</dcterms:modified>
</cp:coreProperties>
</file>